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on\Documents\COLEGIO\SECRETARIA\CIRCULARES\2022\"/>
    </mc:Choice>
  </mc:AlternateContent>
  <bookViews>
    <workbookView xWindow="0" yWindow="0" windowWidth="23040" windowHeight="9264" activeTab="3"/>
  </bookViews>
  <sheets>
    <sheet name="TABLA MEJORA ENERGÉTICA" sheetId="5" r:id="rId1"/>
    <sheet name="TABLA MEJORA ENERGÉTICA +" sheetId="1" r:id="rId2"/>
    <sheet name="TABLA MEJORA ENERGÉTICA FASE I" sheetId="6" r:id="rId3"/>
    <sheet name="DETALLE PPTO" sheetId="4" r:id="rId4"/>
    <sheet name="Hoja1 (2)" sheetId="3" r:id="rId5"/>
  </sheets>
  <definedNames>
    <definedName name="_xlnm._FilterDatabase" localSheetId="0" hidden="1">'TABLA MEJORA ENERGÉTICA'!$C$3:$J$3</definedName>
    <definedName name="_xlnm._FilterDatabase" localSheetId="1" hidden="1">'TABLA MEJORA ENERGÉTICA +'!$C$3:$Q$3</definedName>
    <definedName name="_xlnm._FilterDatabase" localSheetId="2" hidden="1">'TABLA MEJORA ENERGÉTICA FASE I'!$C$3:$Q$3</definedName>
    <definedName name="_xlnm.Print_Area" localSheetId="0">'TABLA MEJORA ENERGÉTICA'!$C$1:$J$38</definedName>
    <definedName name="_xlnm.Print_Area" localSheetId="1">'TABLA MEJORA ENERGÉTICA +'!$C$1:$Q$47</definedName>
    <definedName name="_xlnm.Print_Area" localSheetId="2">'TABLA MEJORA ENERGÉTICA FASE I'!$C$1:$Q$47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" i="4" l="1"/>
  <c r="G46" i="6" l="1"/>
  <c r="G44" i="6"/>
  <c r="G41" i="6"/>
  <c r="I41" i="6" s="1"/>
  <c r="G37" i="6"/>
  <c r="G33" i="6"/>
  <c r="G35" i="6" s="1"/>
  <c r="G16" i="6"/>
  <c r="H16" i="6"/>
  <c r="G12" i="6"/>
  <c r="Q6" i="6"/>
  <c r="P6" i="6"/>
  <c r="O6" i="6"/>
  <c r="L6" i="6"/>
  <c r="H6" i="6"/>
  <c r="J6" i="6" s="1"/>
  <c r="P5" i="6"/>
  <c r="Q5" i="6" s="1"/>
  <c r="O5" i="6"/>
  <c r="L5" i="6"/>
  <c r="K5" i="6"/>
  <c r="J5" i="6"/>
  <c r="M5" i="6" s="1"/>
  <c r="N5" i="6" s="1"/>
  <c r="H5" i="6"/>
  <c r="P4" i="6"/>
  <c r="O4" i="6"/>
  <c r="Q4" i="6" s="1"/>
  <c r="Q12" i="6" s="1"/>
  <c r="M4" i="6"/>
  <c r="L4" i="6"/>
  <c r="J4" i="6"/>
  <c r="K4" i="6" s="1"/>
  <c r="H4" i="6"/>
  <c r="H12" i="6" s="1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J5" i="5"/>
  <c r="I5" i="5"/>
  <c r="J4" i="5"/>
  <c r="I4" i="5"/>
  <c r="H11" i="5"/>
  <c r="H12" i="5"/>
  <c r="H4" i="5"/>
  <c r="H5" i="5"/>
  <c r="H20" i="5" s="1"/>
  <c r="H6" i="5"/>
  <c r="H7" i="5"/>
  <c r="H8" i="5"/>
  <c r="H9" i="5"/>
  <c r="H10" i="5"/>
  <c r="F11" i="5"/>
  <c r="F12" i="5"/>
  <c r="F4" i="5"/>
  <c r="F5" i="5"/>
  <c r="F6" i="5"/>
  <c r="F7" i="5"/>
  <c r="F8" i="5"/>
  <c r="F9" i="5"/>
  <c r="F10" i="5"/>
  <c r="C11" i="5"/>
  <c r="D11" i="5"/>
  <c r="C12" i="5"/>
  <c r="D12" i="5"/>
  <c r="C4" i="5"/>
  <c r="D4" i="5"/>
  <c r="C5" i="5"/>
  <c r="D5" i="5"/>
  <c r="C6" i="5"/>
  <c r="D6" i="5"/>
  <c r="C7" i="5"/>
  <c r="D7" i="5"/>
  <c r="C8" i="5"/>
  <c r="D8" i="5"/>
  <c r="C9" i="5"/>
  <c r="D9" i="5"/>
  <c r="C10" i="5"/>
  <c r="D10" i="5"/>
  <c r="G61" i="4"/>
  <c r="G60" i="4"/>
  <c r="G59" i="4"/>
  <c r="F62" i="4" s="1"/>
  <c r="E58" i="4"/>
  <c r="G55" i="4"/>
  <c r="F56" i="4" s="1"/>
  <c r="E54" i="4"/>
  <c r="G51" i="4"/>
  <c r="G50" i="4"/>
  <c r="G49" i="4"/>
  <c r="G48" i="4"/>
  <c r="G47" i="4"/>
  <c r="G46" i="4"/>
  <c r="G45" i="4"/>
  <c r="G44" i="4"/>
  <c r="G43" i="4"/>
  <c r="G42" i="4"/>
  <c r="F52" i="4" s="1"/>
  <c r="E41" i="4"/>
  <c r="G38" i="4"/>
  <c r="G37" i="4"/>
  <c r="G36" i="4"/>
  <c r="G35" i="4"/>
  <c r="G34" i="4"/>
  <c r="G33" i="4"/>
  <c r="G32" i="4"/>
  <c r="E31" i="4"/>
  <c r="G28" i="4"/>
  <c r="G27" i="4"/>
  <c r="G26" i="4"/>
  <c r="G25" i="4"/>
  <c r="G24" i="4"/>
  <c r="G23" i="4"/>
  <c r="G22" i="4"/>
  <c r="G21" i="4"/>
  <c r="G20" i="4"/>
  <c r="E19" i="4"/>
  <c r="G16" i="4"/>
  <c r="G15" i="4"/>
  <c r="F17" i="4" s="1"/>
  <c r="E14" i="4"/>
  <c r="G11" i="4"/>
  <c r="G10" i="4"/>
  <c r="G9" i="4"/>
  <c r="G8" i="4"/>
  <c r="G7" i="4"/>
  <c r="G6" i="4"/>
  <c r="G5" i="4"/>
  <c r="E4" i="4"/>
  <c r="G16" i="1"/>
  <c r="O14" i="1"/>
  <c r="O13" i="1"/>
  <c r="G46" i="1"/>
  <c r="G44" i="1"/>
  <c r="H14" i="1" s="1"/>
  <c r="G19" i="6" l="1"/>
  <c r="H19" i="6"/>
  <c r="M6" i="6"/>
  <c r="N6" i="6" s="1"/>
  <c r="K6" i="6"/>
  <c r="K37" i="6"/>
  <c r="K36" i="6" s="1"/>
  <c r="N36" i="6" s="1"/>
  <c r="O36" i="6" s="1"/>
  <c r="B5" i="6"/>
  <c r="B4" i="6"/>
  <c r="Q16" i="6"/>
  <c r="Q19" i="6" s="1"/>
  <c r="N4" i="6"/>
  <c r="I38" i="6"/>
  <c r="I39" i="6"/>
  <c r="I40" i="6"/>
  <c r="J12" i="6"/>
  <c r="K33" i="6" s="1"/>
  <c r="K32" i="6" s="1"/>
  <c r="N32" i="6" s="1"/>
  <c r="O32" i="6" s="1"/>
  <c r="F39" i="4"/>
  <c r="F31" i="4" s="1"/>
  <c r="F12" i="4"/>
  <c r="F29" i="4"/>
  <c r="F58" i="4"/>
  <c r="G62" i="4"/>
  <c r="G58" i="4" s="1"/>
  <c r="G52" i="4"/>
  <c r="G41" i="4" s="1"/>
  <c r="F41" i="4"/>
  <c r="F19" i="4"/>
  <c r="G29" i="4"/>
  <c r="G19" i="4" s="1"/>
  <c r="F4" i="4"/>
  <c r="G12" i="4"/>
  <c r="G17" i="4"/>
  <c r="G14" i="4" s="1"/>
  <c r="F14" i="4"/>
  <c r="G56" i="4"/>
  <c r="G54" i="4" s="1"/>
  <c r="G39" i="4"/>
  <c r="G31" i="4" s="1"/>
  <c r="H13" i="1"/>
  <c r="H45" i="3"/>
  <c r="J45" i="3" s="1"/>
  <c r="K45" i="3" s="1"/>
  <c r="H44" i="3"/>
  <c r="J44" i="3" s="1"/>
  <c r="K44" i="3" s="1"/>
  <c r="J43" i="3"/>
  <c r="K43" i="3" s="1"/>
  <c r="H43" i="3"/>
  <c r="I42" i="3"/>
  <c r="J42" i="3" s="1"/>
  <c r="K42" i="3" s="1"/>
  <c r="H42" i="3"/>
  <c r="I38" i="3"/>
  <c r="J38" i="3" s="1"/>
  <c r="K38" i="3" s="1"/>
  <c r="H38" i="3"/>
  <c r="I37" i="3"/>
  <c r="J37" i="3" s="1"/>
  <c r="K37" i="3" s="1"/>
  <c r="H37" i="3"/>
  <c r="I36" i="3"/>
  <c r="I35" i="3" s="1"/>
  <c r="J35" i="3" s="1"/>
  <c r="K35" i="3" s="1"/>
  <c r="H36" i="3"/>
  <c r="H35" i="3"/>
  <c r="K32" i="3"/>
  <c r="J32" i="3"/>
  <c r="I32" i="3"/>
  <c r="N31" i="3"/>
  <c r="O31" i="3" s="1"/>
  <c r="K31" i="3"/>
  <c r="J31" i="3"/>
  <c r="I31" i="3"/>
  <c r="N30" i="3"/>
  <c r="O30" i="3" s="1"/>
  <c r="K30" i="3"/>
  <c r="J30" i="3"/>
  <c r="I30" i="3"/>
  <c r="N29" i="3"/>
  <c r="O29" i="3" s="1"/>
  <c r="K29" i="3"/>
  <c r="J29" i="3"/>
  <c r="I29" i="3"/>
  <c r="I28" i="3"/>
  <c r="H28" i="3"/>
  <c r="N28" i="3" s="1"/>
  <c r="O28" i="3" s="1"/>
  <c r="K22" i="3"/>
  <c r="J22" i="3"/>
  <c r="I22" i="3"/>
  <c r="K21" i="3"/>
  <c r="J21" i="3"/>
  <c r="I21" i="3"/>
  <c r="K20" i="3"/>
  <c r="J20" i="3"/>
  <c r="I20" i="3"/>
  <c r="K19" i="3"/>
  <c r="J19" i="3"/>
  <c r="I19" i="3"/>
  <c r="I18" i="3"/>
  <c r="H18" i="3"/>
  <c r="K18" i="3" s="1"/>
  <c r="G8" i="3"/>
  <c r="G7" i="3"/>
  <c r="G6" i="3"/>
  <c r="G5" i="3"/>
  <c r="G4" i="3"/>
  <c r="G3" i="3"/>
  <c r="M12" i="6" l="1"/>
  <c r="J16" i="6"/>
  <c r="I16" i="6" s="1"/>
  <c r="I12" i="6"/>
  <c r="K12" i="6"/>
  <c r="B6" i="6"/>
  <c r="F64" i="4"/>
  <c r="G64" i="4" s="1"/>
  <c r="G4" i="4"/>
  <c r="J36" i="3"/>
  <c r="K36" i="3" s="1"/>
  <c r="J18" i="3"/>
  <c r="J28" i="3"/>
  <c r="K28" i="3"/>
  <c r="J19" i="6" l="1"/>
  <c r="I19" i="6" s="1"/>
  <c r="K16" i="6"/>
  <c r="K19" i="6" s="1"/>
  <c r="M16" i="6"/>
  <c r="N16" i="6" s="1"/>
  <c r="N12" i="6"/>
  <c r="M19" i="6"/>
  <c r="N19" i="6" s="1"/>
  <c r="P14" i="1"/>
  <c r="Q14" i="1" s="1"/>
  <c r="L14" i="1"/>
  <c r="J14" i="1"/>
  <c r="P13" i="1"/>
  <c r="L13" i="1"/>
  <c r="J13" i="1"/>
  <c r="O4" i="1"/>
  <c r="H4" i="1"/>
  <c r="J4" i="1" s="1"/>
  <c r="H5" i="1"/>
  <c r="O5" i="1"/>
  <c r="O6" i="1"/>
  <c r="H6" i="1"/>
  <c r="J6" i="1" s="1"/>
  <c r="H7" i="1"/>
  <c r="J7" i="1" s="1"/>
  <c r="O7" i="1"/>
  <c r="H8" i="1"/>
  <c r="J8" i="1" s="1"/>
  <c r="H9" i="1"/>
  <c r="J9" i="1" s="1"/>
  <c r="O9" i="1"/>
  <c r="O10" i="1"/>
  <c r="H10" i="1"/>
  <c r="G12" i="1"/>
  <c r="G19" i="1" s="1"/>
  <c r="I10" i="1"/>
  <c r="P10" i="1" s="1"/>
  <c r="L10" i="1"/>
  <c r="L8" i="1"/>
  <c r="L9" i="1"/>
  <c r="L7" i="1"/>
  <c r="L4" i="1"/>
  <c r="L6" i="1"/>
  <c r="L5" i="1"/>
  <c r="P6" i="1"/>
  <c r="P4" i="1"/>
  <c r="P9" i="1"/>
  <c r="O8" i="1"/>
  <c r="P7" i="1"/>
  <c r="P8" i="1"/>
  <c r="G41" i="1"/>
  <c r="I38" i="1" s="1"/>
  <c r="G37" i="1"/>
  <c r="G33" i="1"/>
  <c r="K13" i="1" l="1"/>
  <c r="K14" i="1"/>
  <c r="M14" i="1"/>
  <c r="N14" i="1" s="1"/>
  <c r="Q13" i="1"/>
  <c r="Q16" i="1" s="1"/>
  <c r="H16" i="1"/>
  <c r="J16" i="1"/>
  <c r="M13" i="1"/>
  <c r="J10" i="1"/>
  <c r="H12" i="1"/>
  <c r="Q6" i="1"/>
  <c r="K6" i="1"/>
  <c r="Q4" i="1"/>
  <c r="K4" i="1"/>
  <c r="Q9" i="1"/>
  <c r="K9" i="1"/>
  <c r="Q8" i="1"/>
  <c r="Q7" i="1"/>
  <c r="K10" i="1"/>
  <c r="K7" i="1"/>
  <c r="K8" i="1"/>
  <c r="Q10" i="1"/>
  <c r="I41" i="1"/>
  <c r="G35" i="1"/>
  <c r="I39" i="1"/>
  <c r="I40" i="1"/>
  <c r="P5" i="1" s="1"/>
  <c r="H19" i="1" l="1"/>
  <c r="I16" i="1"/>
  <c r="K16" i="1"/>
  <c r="N13" i="1"/>
  <c r="M16" i="1"/>
  <c r="N16" i="1" s="1"/>
  <c r="B4" i="1"/>
  <c r="J5" i="1"/>
  <c r="Q5" i="1"/>
  <c r="Q12" i="1" s="1"/>
  <c r="Q19" i="1" s="1"/>
  <c r="K5" i="1" l="1"/>
  <c r="J12" i="1"/>
  <c r="J19" i="1" s="1"/>
  <c r="I19" i="1" s="1"/>
  <c r="M5" i="1"/>
  <c r="B5" i="1" l="1"/>
  <c r="B6" i="1" s="1"/>
  <c r="B7" i="1" s="1"/>
  <c r="B8" i="1" s="1"/>
  <c r="B9" i="1" s="1"/>
  <c r="B10" i="1" s="1"/>
  <c r="B13" i="1" s="1"/>
  <c r="B14" i="1" s="1"/>
  <c r="K12" i="1"/>
  <c r="K19" i="1" s="1"/>
  <c r="N5" i="1"/>
  <c r="M10" i="1" l="1"/>
  <c r="N10" i="1" s="1"/>
  <c r="M8" i="1" l="1"/>
  <c r="N8" i="1" s="1"/>
  <c r="M9" i="1"/>
  <c r="N9" i="1" s="1"/>
  <c r="M7" i="1" l="1"/>
  <c r="N7" i="1" s="1"/>
  <c r="M6" i="1"/>
  <c r="N6" i="1" s="1"/>
  <c r="M4" i="1"/>
  <c r="M12" i="1" l="1"/>
  <c r="N4" i="1"/>
  <c r="K33" i="1"/>
  <c r="K32" i="1" s="1"/>
  <c r="N32" i="1" s="1"/>
  <c r="O32" i="1" s="1"/>
  <c r="I12" i="1"/>
  <c r="K37" i="1"/>
  <c r="K36" i="1" s="1"/>
  <c r="N36" i="1" s="1"/>
  <c r="O36" i="1" s="1"/>
  <c r="N12" i="1" l="1"/>
  <c r="M19" i="1"/>
  <c r="N19" i="1" s="1"/>
</calcChain>
</file>

<file path=xl/sharedStrings.xml><?xml version="1.0" encoding="utf-8"?>
<sst xmlns="http://schemas.openxmlformats.org/spreadsheetml/2006/main" count="541" uniqueCount="246">
  <si>
    <t>DESCRIPCIÓN</t>
  </si>
  <si>
    <t>TIPOS DE MEDIDA</t>
  </si>
  <si>
    <t>AHORRO ENERGÉTICO</t>
  </si>
  <si>
    <t>MAE</t>
  </si>
  <si>
    <t>OTROS</t>
  </si>
  <si>
    <t>OTR</t>
  </si>
  <si>
    <t>COSTE INVERSIÓN (€)</t>
  </si>
  <si>
    <t>AHORRO ESTIMADO (Kwh año)</t>
  </si>
  <si>
    <t>AHORRO ESTIMADO (Euros año)</t>
  </si>
  <si>
    <t>PERIODO DE RETORNO (Años)</t>
  </si>
  <si>
    <t>EMISIONES CO2 AHORRADAS (Toneladas)</t>
  </si>
  <si>
    <t>SUPERFICIE HABITABLE (UTIL)</t>
  </si>
  <si>
    <t>CONSUMO ACTUAL ENERGÍA PRIMARIA NO RENOVABLE</t>
  </si>
  <si>
    <t>m2</t>
  </si>
  <si>
    <t>Kwh/m2 año</t>
  </si>
  <si>
    <t>Kwh año</t>
  </si>
  <si>
    <t>COSTE CONSIDERADO ELECTRICIDAD DOMÉSTICA</t>
  </si>
  <si>
    <t>€/Kwh</t>
  </si>
  <si>
    <t>FACTURACIÓN ESTIMADA ENERGÍA</t>
  </si>
  <si>
    <t>€</t>
  </si>
  <si>
    <t>PRECIO ENERGÍA ESTIMADO (€/Kwh)</t>
  </si>
  <si>
    <t>Aislamiento de medianería Ficticia (nº20)</t>
  </si>
  <si>
    <t xml:space="preserve">EMISIONES DE CO2 </t>
  </si>
  <si>
    <t>CASO BASE. ACTUAL</t>
  </si>
  <si>
    <t>KgCO2/m2 año</t>
  </si>
  <si>
    <t>Toneladas</t>
  </si>
  <si>
    <t>Adición de Aislamiento térmico en el bajo cubierta</t>
  </si>
  <si>
    <t>SUPERFICIE FACHADA PRINCIPAL</t>
  </si>
  <si>
    <t>SUPERFICIE FACHADA TRASERA</t>
  </si>
  <si>
    <t>SUPERFICIE FACHADA MEDIANERÍA FICTICIA</t>
  </si>
  <si>
    <t>TOTAL FACHADAS EXPUESTAS</t>
  </si>
  <si>
    <t>APLICABLE</t>
  </si>
  <si>
    <t>PROGRAMA CE3X</t>
  </si>
  <si>
    <t>% sobre consumo Anual</t>
  </si>
  <si>
    <t>*EL PROGRAMA CALCULA CON TODA SUPERFICIE DE FACHADAS</t>
  </si>
  <si>
    <t>% APLICABLE*</t>
  </si>
  <si>
    <t>Mejora de estanquidad de las ventanas</t>
  </si>
  <si>
    <t>Instalación Solar Térmica para ACS</t>
  </si>
  <si>
    <t>Sustitución de vidrios por otros más aislantes</t>
  </si>
  <si>
    <t>FASE I</t>
  </si>
  <si>
    <t xml:space="preserve">FASE </t>
  </si>
  <si>
    <t>Nº MEDIDA</t>
  </si>
  <si>
    <t>FASE II</t>
  </si>
  <si>
    <t>CONSUMO CON MEJORAS</t>
  </si>
  <si>
    <t>G</t>
  </si>
  <si>
    <t>E</t>
  </si>
  <si>
    <t>EMISIONES CON MEJORAS</t>
  </si>
  <si>
    <t>% REDUCCIÓN</t>
  </si>
  <si>
    <t>REDUCCIONES</t>
  </si>
  <si>
    <t>CALIFICACIÓN</t>
  </si>
  <si>
    <t>Incorporación de Sistema Fotovoltaico</t>
  </si>
  <si>
    <t>Adición de aislamiento térmico en fachada por el interior</t>
  </si>
  <si>
    <t>Fuente Precio Medio OCU Doméstico enero 2022</t>
  </si>
  <si>
    <t>CEXv2.3 RESIDENCIAL</t>
  </si>
  <si>
    <t>SÍ</t>
  </si>
  <si>
    <t>TOTAL 01. MEDIDAS RESIDENCIAL CEXv2.3</t>
  </si>
  <si>
    <t>E01</t>
  </si>
  <si>
    <t>E02</t>
  </si>
  <si>
    <t>E03</t>
  </si>
  <si>
    <t>E04</t>
  </si>
  <si>
    <t>E05</t>
  </si>
  <si>
    <t>E06</t>
  </si>
  <si>
    <t>E07</t>
  </si>
  <si>
    <t>TOTAL 02. MEDIDAS  NO RESIDENCIAL CEXv2.3</t>
  </si>
  <si>
    <t>A</t>
  </si>
  <si>
    <t>B</t>
  </si>
  <si>
    <t>C</t>
  </si>
  <si>
    <t>D</t>
  </si>
  <si>
    <t>F</t>
  </si>
  <si>
    <t>CERT. 01</t>
  </si>
  <si>
    <t xml:space="preserve">Reducción </t>
  </si>
  <si>
    <t>MSC</t>
  </si>
  <si>
    <t>Consumo Energía Primaria NO renovable</t>
  </si>
  <si>
    <t>KWk/m2 año</t>
  </si>
  <si>
    <t>1. Calefacción</t>
  </si>
  <si>
    <t>2. ACS</t>
  </si>
  <si>
    <t>3. Refrigeración</t>
  </si>
  <si>
    <t>4. Iluminación</t>
  </si>
  <si>
    <t>-</t>
  </si>
  <si>
    <t>CERT. 02</t>
  </si>
  <si>
    <t>AMD</t>
  </si>
  <si>
    <t>Antes</t>
  </si>
  <si>
    <t>Ahora</t>
  </si>
  <si>
    <t>Diferencia</t>
  </si>
  <si>
    <t>Sobre Calefacción</t>
  </si>
  <si>
    <t>Sobre Refrigeración</t>
  </si>
  <si>
    <t>Sobre ACS</t>
  </si>
  <si>
    <t>Ahorro</t>
  </si>
  <si>
    <t>MEDIDAS APLICADAS A FASE III</t>
  </si>
  <si>
    <t>E08</t>
  </si>
  <si>
    <t>E09</t>
  </si>
  <si>
    <t>NO</t>
  </si>
  <si>
    <t>CONSUMO ACTUAL QUE SE ESTIMA POR ILUMINACIÓN</t>
  </si>
  <si>
    <t xml:space="preserve"> - Zonas Comunes Incandescente halógenas. 85,7 m2 75 lux</t>
  </si>
  <si>
    <t xml:space="preserve"> - Zonas Privativas Incandescente.771 m2 50 lux</t>
  </si>
  <si>
    <t>Sustitución luminarias y lámp en Viviendas por LED Spot</t>
  </si>
  <si>
    <t>Sustitución luminarias y lámp zonas comunes por LED Spot</t>
  </si>
  <si>
    <t>TOTAL 01+02. MEDIDAS RESIDENCIAL CEXv2.3 + ILUMINACIÓN</t>
  </si>
  <si>
    <t>Presupuesto</t>
  </si>
  <si>
    <t>Código</t>
  </si>
  <si>
    <t>Nat</t>
  </si>
  <si>
    <t>Ud</t>
  </si>
  <si>
    <t>Resumen</t>
  </si>
  <si>
    <t>CanPres</t>
  </si>
  <si>
    <t>PrPres</t>
  </si>
  <si>
    <t>ImpPres</t>
  </si>
  <si>
    <t xml:space="preserve">01           </t>
  </si>
  <si>
    <t>Capítulo</t>
  </si>
  <si>
    <t/>
  </si>
  <si>
    <t>MEDIDAS DE MEJORA ENERGÉTICA EN BASE CEXv2.3 RESIDENCIAL</t>
  </si>
  <si>
    <t xml:space="preserve">E01          </t>
  </si>
  <si>
    <t>Partida</t>
  </si>
  <si>
    <t>Ud.</t>
  </si>
  <si>
    <t>Ud. Incoporación de Sistema Fotovoltaico</t>
  </si>
  <si>
    <t xml:space="preserve">E02          </t>
  </si>
  <si>
    <t xml:space="preserve">E03          </t>
  </si>
  <si>
    <t>Adición de Aislamiento térmico en la fachada interior</t>
  </si>
  <si>
    <t xml:space="preserve">E04          </t>
  </si>
  <si>
    <t xml:space="preserve">E05          </t>
  </si>
  <si>
    <t xml:space="preserve">E06          </t>
  </si>
  <si>
    <t xml:space="preserve">E07          </t>
  </si>
  <si>
    <t>01</t>
  </si>
  <si>
    <t xml:space="preserve">02           </t>
  </si>
  <si>
    <t>MEDIDAS DE MEJORA ENERGÉTICA EN BASE CEXv2.3 NO RESIDENCIAL</t>
  </si>
  <si>
    <t xml:space="preserve">E08          </t>
  </si>
  <si>
    <t>Sustitución luminarias y lámparas en zonas comunes por LED Spot</t>
  </si>
  <si>
    <t xml:space="preserve">E09          </t>
  </si>
  <si>
    <t>Sustitución luminarias y lámparas en Viviendas por LED Spot</t>
  </si>
  <si>
    <t>02</t>
  </si>
  <si>
    <t xml:space="preserve">03           </t>
  </si>
  <si>
    <t>MEDIDAS DE MEJORA SEGURIDAD DE UTLIZACIÓN Y ACCESIBILIDAD</t>
  </si>
  <si>
    <t xml:space="preserve">SUA01        </t>
  </si>
  <si>
    <t>Pa.</t>
  </si>
  <si>
    <t>Señalizar Vidrios Puerta Patio</t>
  </si>
  <si>
    <t xml:space="preserve">SUA02        </t>
  </si>
  <si>
    <t>Gestión del Alumbrado en zonas de Circulación</t>
  </si>
  <si>
    <t xml:space="preserve">SUA03        </t>
  </si>
  <si>
    <t>Dotación Luminarias de Emergencia</t>
  </si>
  <si>
    <t xml:space="preserve">SUA04        </t>
  </si>
  <si>
    <t>Sistema de Protección contra el Rayo</t>
  </si>
  <si>
    <t xml:space="preserve">SUA05        </t>
  </si>
  <si>
    <t>Accesibilidad Exterior. Calle a Zona Pasaje</t>
  </si>
  <si>
    <t xml:space="preserve">SUA06        </t>
  </si>
  <si>
    <t>Accesibilidad Entre Pasaje y Caja Escalera</t>
  </si>
  <si>
    <t xml:space="preserve">SUA07        </t>
  </si>
  <si>
    <t>Accesibilidad Entre Pasaje y Patio Interior</t>
  </si>
  <si>
    <t xml:space="preserve">SUA08        </t>
  </si>
  <si>
    <t>Accesibilidad a Plantas con Ascensor "Accesible"</t>
  </si>
  <si>
    <t xml:space="preserve">SUA09        </t>
  </si>
  <si>
    <t>Dotación de Elementos Accesibles. Interruptores</t>
  </si>
  <si>
    <t>03</t>
  </si>
  <si>
    <t xml:space="preserve">04           </t>
  </si>
  <si>
    <t>MEDIDAS DE MEJORA SEGURIDAD EN CASO DE INCENDIOS</t>
  </si>
  <si>
    <t xml:space="preserve">SI01         </t>
  </si>
  <si>
    <t>Adaptar Sentido Apertura Puertas RF y dotar antipánico</t>
  </si>
  <si>
    <t xml:space="preserve">SI02         </t>
  </si>
  <si>
    <t>Señalización Evacuación. Mejora</t>
  </si>
  <si>
    <t xml:space="preserve">SI03         </t>
  </si>
  <si>
    <t>Dotar Espacio Refugio personas capacidad de Movilidad Reducida</t>
  </si>
  <si>
    <t xml:space="preserve">SI04         </t>
  </si>
  <si>
    <t>Puertas RF en Armario Contadores Eléctricos. Local Riesgo Especi</t>
  </si>
  <si>
    <t xml:space="preserve">SI05         </t>
  </si>
  <si>
    <t>Dotar Sectorización Paso Instalaciones. Espacios Ocultos</t>
  </si>
  <si>
    <t xml:space="preserve">SI06         </t>
  </si>
  <si>
    <t>m2.</t>
  </si>
  <si>
    <t>Reacción al Fuego materiales.Barniz Intumescente Escalera Madera</t>
  </si>
  <si>
    <t xml:space="preserve">SI07         </t>
  </si>
  <si>
    <t>Dotación de Sistema de Detección y Alarma</t>
  </si>
  <si>
    <t>04</t>
  </si>
  <si>
    <t xml:space="preserve">05           </t>
  </si>
  <si>
    <t>MEDIDAS DE MEJORA EN SALUBRIDAD</t>
  </si>
  <si>
    <t xml:space="preserve">SA01         </t>
  </si>
  <si>
    <t>Inspección y Mejora Ventilación de Zonas Privativas Viviendas</t>
  </si>
  <si>
    <t xml:space="preserve">SA02         </t>
  </si>
  <si>
    <t>Inspección y Mejora Ventilación de Zona Pasaje</t>
  </si>
  <si>
    <t xml:space="preserve">SA03         </t>
  </si>
  <si>
    <t>Inspección y Mejora Ventilación de Cala de Escalera</t>
  </si>
  <si>
    <t xml:space="preserve">SA04         </t>
  </si>
  <si>
    <t>Inspección y Mejora Ventilación Cuarto Ascensor Bajo Escalera</t>
  </si>
  <si>
    <t xml:space="preserve">SA05         </t>
  </si>
  <si>
    <t>Ejecución de Cuarto de Recogida de Residuos.</t>
  </si>
  <si>
    <t xml:space="preserve">SA06         </t>
  </si>
  <si>
    <t>Ahorro de Agua. Grifos Cocina</t>
  </si>
  <si>
    <t xml:space="preserve">SA07         </t>
  </si>
  <si>
    <t>Ahorro de Agua. Grifos Lavabos en Baños</t>
  </si>
  <si>
    <t xml:space="preserve">SA08         </t>
  </si>
  <si>
    <t>Ahorro de Agua. Grifos Bañera-Ducha</t>
  </si>
  <si>
    <t xml:space="preserve">SA09         </t>
  </si>
  <si>
    <t>Ahorro de Agua. Cisternas Inodoros. Descargas</t>
  </si>
  <si>
    <t xml:space="preserve">SA10         </t>
  </si>
  <si>
    <t>Ahorro de Agua. Cisternas Inodoros. Contrapesos</t>
  </si>
  <si>
    <t>05</t>
  </si>
  <si>
    <t xml:space="preserve">06           </t>
  </si>
  <si>
    <t>MEDIDAS DE PROTECCIÓN CONTRA EL RUIDO</t>
  </si>
  <si>
    <t xml:space="preserve">R01          </t>
  </si>
  <si>
    <t>Estudio-Auditoría Acústica</t>
  </si>
  <si>
    <t>06</t>
  </si>
  <si>
    <t xml:space="preserve">07           </t>
  </si>
  <si>
    <t>MEDIDAS DERIVADAS DEL ESTADO ACTUAL DE MANTENIMIENTO</t>
  </si>
  <si>
    <t xml:space="preserve">M01          </t>
  </si>
  <si>
    <t>Inspección y Peritaje estructura Vivienda 1ºA</t>
  </si>
  <si>
    <t xml:space="preserve">M02          </t>
  </si>
  <si>
    <t>Atención a condición desfavorable inspección Ascensor</t>
  </si>
  <si>
    <t xml:space="preserve">M03          </t>
  </si>
  <si>
    <t>Protección de la instalación de TDT en Planta casetón</t>
  </si>
  <si>
    <t>07</t>
  </si>
  <si>
    <t>LEEXCOAATMSOM</t>
  </si>
  <si>
    <t>BENEFICIO</t>
  </si>
  <si>
    <t>COSTE DE INVERSIÓN</t>
  </si>
  <si>
    <t>RANGO COMPLEJIDAD</t>
  </si>
  <si>
    <t>RANGO DE COSTE</t>
  </si>
  <si>
    <t>Clasificación de las Medidas por Rango Económico: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</si>
  <si>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01</t>
    </r>
  </si>
  <si>
    <t>Hasta 500 euros de coste de inversión.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</si>
  <si>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02</t>
    </r>
  </si>
  <si>
    <t>501 a 1.000 euros de coste de inversión.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</si>
  <si>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03</t>
    </r>
  </si>
  <si>
    <t>1.001 a 10.000 euros de coste de inversión.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</si>
  <si>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04</t>
    </r>
  </si>
  <si>
    <t>10.001 a 25.000 euros de coste de inversión.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</si>
  <si>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05</t>
    </r>
  </si>
  <si>
    <t>25.001 a 50.000 euros de coste de inversión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</si>
  <si>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06</t>
    </r>
  </si>
  <si>
    <t>50.001 a 100.000 euros de coste de inversión.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</si>
  <si>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07</t>
    </r>
  </si>
  <si>
    <t>Más 100.001 euros de coste de inversión.</t>
  </si>
  <si>
    <t>Clasificación de las Medidas por Complejidad: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</si>
  <si>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Ninguna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</si>
  <si>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Mínima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</si>
  <si>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Poca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</si>
  <si>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Media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</si>
  <si>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Elevada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</si>
  <si>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Muy Elevada</t>
    </r>
  </si>
  <si>
    <t>TABLA RESUMEN DE PROPUESTAS DE MEDIDAS DE MEJORA ENERGÉTICA (DB - HE)</t>
  </si>
  <si>
    <t xml:space="preserve">TOTAL 01. </t>
  </si>
  <si>
    <t>Apartado DB-HE</t>
  </si>
  <si>
    <t>Limitación Consumo Energético</t>
  </si>
  <si>
    <t>Generación Mínima Energía Eléctrica</t>
  </si>
  <si>
    <t>Generación Mínima Energía Renovable ACS</t>
  </si>
  <si>
    <t>Condiciones Instalaciones de Iluminación</t>
  </si>
  <si>
    <t>Generación de Energía de fuentes renovables. Ahorro por autocunsumo.</t>
  </si>
  <si>
    <t>Evita frío-calor, mejora el confort y ahorra energía</t>
  </si>
  <si>
    <t>Ahorra energía y Reduce emisiones</t>
  </si>
  <si>
    <t>Ahorro en el consumo y menos residuos.</t>
  </si>
  <si>
    <t>TABLA RESUMEN DE PROPUESTAS DE MEDIDAS DE MEJORA ENERGÉTICA. (DB-HE). CÁLCULO DEL EFECTO ECONÓMICO Y AMBIENTAL</t>
  </si>
  <si>
    <t xml:space="preserve">PLAN DE ACTUACIONES LEEX. COAATM.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</si>
</sst>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-* #,##0.00000_-;\-* #,##0.00000_-;_-* &quot;-&quot;??_-;_-@_-"/>
    <numFmt numFmtId="166" formatCode="_-* #,##0.0000_-;\-* #,##0.00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rgb="FF000000"/>
      <name val="Calibri Light"/>
      <family val="2"/>
    </font>
    <font>
      <sz val="7"/>
      <color rgb="FF000000"/>
      <name val="Times New Roman"/>
      <family val="1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medium">
        <color indexed="2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4" borderId="5" applyNumberFormat="0" applyFont="0" applyAlignment="0" applyProtection="0"/>
  </cellStyleXfs>
  <cellXfs count="74">
    <xf numFmtId="0" fontId="0" fillId="0" borderId="0" xfId="0"/>
    <xf numFmtId="164" fontId="0" fillId="0" borderId="0" xfId="1" applyFont="1"/>
    <xf numFmtId="0" fontId="0" fillId="0" borderId="0" xfId="0" applyAlignment="1">
      <alignment vertical="top" wrapText="1"/>
    </xf>
    <xf numFmtId="43" fontId="0" fillId="0" borderId="0" xfId="0" applyNumberFormat="1"/>
    <xf numFmtId="9" fontId="0" fillId="0" borderId="0" xfId="2" applyFont="1"/>
    <xf numFmtId="10" fontId="0" fillId="0" borderId="0" xfId="2" applyNumberFormat="1" applyFont="1"/>
    <xf numFmtId="0" fontId="4" fillId="3" borderId="2" xfId="0" applyFont="1" applyFill="1" applyBorder="1" applyAlignment="1">
      <alignment vertical="top"/>
    </xf>
    <xf numFmtId="164" fontId="4" fillId="3" borderId="2" xfId="1" applyFont="1" applyFill="1" applyBorder="1" applyAlignment="1">
      <alignment vertical="top"/>
    </xf>
    <xf numFmtId="164" fontId="3" fillId="0" borderId="0" xfId="1" applyFont="1"/>
    <xf numFmtId="0" fontId="4" fillId="3" borderId="4" xfId="0" applyFont="1" applyFill="1" applyBorder="1" applyAlignment="1">
      <alignment vertical="top" wrapText="1"/>
    </xf>
    <xf numFmtId="0" fontId="2" fillId="0" borderId="3" xfId="3" applyFill="1" applyBorder="1"/>
    <xf numFmtId="164" fontId="2" fillId="0" borderId="3" xfId="3" applyNumberFormat="1" applyFill="1" applyBorder="1"/>
    <xf numFmtId="43" fontId="2" fillId="0" borderId="3" xfId="3" applyNumberFormat="1" applyFill="1" applyBorder="1"/>
    <xf numFmtId="10" fontId="2" fillId="0" borderId="3" xfId="3" applyNumberFormat="1" applyFill="1" applyBorder="1"/>
    <xf numFmtId="165" fontId="2" fillId="0" borderId="3" xfId="3" applyNumberFormat="1" applyFill="1" applyBorder="1"/>
    <xf numFmtId="10" fontId="0" fillId="0" borderId="0" xfId="0" applyNumberFormat="1"/>
    <xf numFmtId="0" fontId="2" fillId="0" borderId="3" xfId="3" applyFill="1" applyBorder="1" applyAlignment="1"/>
    <xf numFmtId="0" fontId="4" fillId="3" borderId="3" xfId="3" applyFont="1" applyFill="1" applyBorder="1"/>
    <xf numFmtId="164" fontId="4" fillId="3" borderId="3" xfId="3" applyNumberFormat="1" applyFont="1" applyFill="1" applyBorder="1"/>
    <xf numFmtId="10" fontId="4" fillId="3" borderId="3" xfId="3" applyNumberFormat="1" applyFont="1" applyFill="1" applyBorder="1"/>
    <xf numFmtId="43" fontId="4" fillId="3" borderId="3" xfId="3" applyNumberFormat="1" applyFont="1" applyFill="1" applyBorder="1"/>
    <xf numFmtId="0" fontId="0" fillId="0" borderId="0" xfId="0" applyAlignment="1">
      <alignment horizontal="center"/>
    </xf>
    <xf numFmtId="166" fontId="3" fillId="0" borderId="0" xfId="1" applyNumberFormat="1" applyFont="1"/>
    <xf numFmtId="0" fontId="0" fillId="5" borderId="5" xfId="4" applyFont="1" applyFill="1"/>
    <xf numFmtId="0" fontId="0" fillId="0" borderId="5" xfId="4" applyFont="1" applyFill="1"/>
    <xf numFmtId="14" fontId="0" fillId="5" borderId="5" xfId="4" applyNumberFormat="1" applyFont="1" applyFill="1"/>
    <xf numFmtId="14" fontId="0" fillId="0" borderId="5" xfId="4" applyNumberFormat="1" applyFont="1" applyFill="1"/>
    <xf numFmtId="9" fontId="0" fillId="0" borderId="5" xfId="2" applyFont="1" applyFill="1" applyBorder="1"/>
    <xf numFmtId="9" fontId="0" fillId="0" borderId="5" xfId="4" applyNumberFormat="1" applyFont="1" applyFill="1"/>
    <xf numFmtId="0" fontId="0" fillId="4" borderId="5" xfId="4" applyFont="1"/>
    <xf numFmtId="0" fontId="0" fillId="4" borderId="5" xfId="4" applyFont="1" applyAlignment="1">
      <alignment horizontal="center"/>
    </xf>
    <xf numFmtId="164" fontId="0" fillId="4" borderId="5" xfId="4" applyNumberFormat="1" applyFont="1"/>
    <xf numFmtId="0" fontId="0" fillId="0" borderId="5" xfId="4" applyFont="1" applyFill="1" applyAlignment="1">
      <alignment horizontal="center"/>
    </xf>
    <xf numFmtId="164" fontId="0" fillId="0" borderId="5" xfId="4" applyNumberFormat="1" applyFont="1" applyFill="1"/>
    <xf numFmtId="164" fontId="0" fillId="0" borderId="0" xfId="0" applyNumberFormat="1"/>
    <xf numFmtId="0" fontId="6" fillId="0" borderId="0" xfId="0" applyFont="1"/>
    <xf numFmtId="49" fontId="7" fillId="0" borderId="0" xfId="0" applyNumberFormat="1" applyFont="1"/>
    <xf numFmtId="0" fontId="7" fillId="0" borderId="0" xfId="0" applyFont="1"/>
    <xf numFmtId="49" fontId="8" fillId="0" borderId="0" xfId="0" applyNumberFormat="1" applyFont="1"/>
    <xf numFmtId="0" fontId="8" fillId="0" borderId="0" xfId="0" applyFont="1"/>
    <xf numFmtId="49" fontId="0" fillId="0" borderId="6" xfId="0" applyNumberFormat="1" applyBorder="1"/>
    <xf numFmtId="3" fontId="0" fillId="0" borderId="6" xfId="0" applyNumberFormat="1" applyBorder="1"/>
    <xf numFmtId="0" fontId="0" fillId="0" borderId="6" xfId="0" applyBorder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0" fillId="0" borderId="7" xfId="0" applyBorder="1"/>
    <xf numFmtId="49" fontId="4" fillId="6" borderId="2" xfId="0" applyNumberFormat="1" applyFont="1" applyFill="1" applyBorder="1"/>
    <xf numFmtId="3" fontId="4" fillId="6" borderId="2" xfId="0" applyNumberFormat="1" applyFont="1" applyFill="1" applyBorder="1"/>
    <xf numFmtId="0" fontId="4" fillId="6" borderId="3" xfId="3" applyFont="1" applyFill="1" applyBorder="1"/>
    <xf numFmtId="164" fontId="4" fillId="6" borderId="3" xfId="3" applyNumberFormat="1" applyFont="1" applyFill="1" applyBorder="1"/>
    <xf numFmtId="10" fontId="4" fillId="6" borderId="3" xfId="3" applyNumberFormat="1" applyFont="1" applyFill="1" applyBorder="1"/>
    <xf numFmtId="43" fontId="4" fillId="6" borderId="3" xfId="3" applyNumberFormat="1" applyFont="1" applyFill="1" applyBorder="1"/>
    <xf numFmtId="10" fontId="0" fillId="0" borderId="0" xfId="0" applyNumberFormat="1" applyAlignment="1">
      <alignment vertical="top"/>
    </xf>
    <xf numFmtId="0" fontId="2" fillId="0" borderId="3" xfId="3" applyFill="1" applyBorder="1" applyAlignment="1">
      <alignment vertical="top"/>
    </xf>
    <xf numFmtId="164" fontId="2" fillId="0" borderId="3" xfId="3" applyNumberFormat="1" applyFill="1" applyBorder="1" applyAlignment="1">
      <alignment vertical="top" wrapText="1"/>
    </xf>
    <xf numFmtId="43" fontId="2" fillId="0" borderId="3" xfId="3" applyNumberFormat="1" applyFill="1" applyBorder="1" applyAlignment="1">
      <alignment vertical="top"/>
    </xf>
    <xf numFmtId="10" fontId="2" fillId="0" borderId="3" xfId="3" applyNumberFormat="1" applyFill="1" applyBorder="1" applyAlignment="1">
      <alignment vertical="top"/>
    </xf>
    <xf numFmtId="0" fontId="0" fillId="0" borderId="0" xfId="0" applyAlignment="1">
      <alignment vertical="top"/>
    </xf>
    <xf numFmtId="0" fontId="2" fillId="0" borderId="3" xfId="3" applyFill="1" applyBorder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5"/>
    </xf>
    <xf numFmtId="4" fontId="12" fillId="0" borderId="6" xfId="0" applyNumberFormat="1" applyFont="1" applyBorder="1"/>
    <xf numFmtId="4" fontId="4" fillId="6" borderId="2" xfId="0" applyNumberFormat="1" applyFont="1" applyFill="1" applyBorder="1"/>
    <xf numFmtId="0" fontId="12" fillId="0" borderId="0" xfId="0" applyFont="1"/>
    <xf numFmtId="0" fontId="12" fillId="0" borderId="7" xfId="0" applyFont="1" applyBorder="1"/>
    <xf numFmtId="0" fontId="13" fillId="0" borderId="0" xfId="0" applyFont="1"/>
    <xf numFmtId="0" fontId="14" fillId="0" borderId="0" xfId="0" applyFont="1"/>
    <xf numFmtId="49" fontId="0" fillId="0" borderId="6" xfId="0" applyNumberFormat="1" applyFill="1" applyBorder="1"/>
    <xf numFmtId="4" fontId="0" fillId="0" borderId="6" xfId="0" applyNumberFormat="1" applyFill="1" applyBorder="1"/>
    <xf numFmtId="4" fontId="12" fillId="0" borderId="6" xfId="0" applyNumberFormat="1" applyFont="1" applyFill="1" applyBorder="1"/>
    <xf numFmtId="49" fontId="0" fillId="0" borderId="0" xfId="0" applyNumberFormat="1" applyFill="1" applyBorder="1"/>
    <xf numFmtId="4" fontId="0" fillId="0" borderId="0" xfId="0" applyNumberFormat="1" applyFill="1" applyBorder="1"/>
    <xf numFmtId="4" fontId="12" fillId="0" borderId="0" xfId="0" applyNumberFormat="1" applyFont="1" applyFill="1" applyBorder="1"/>
    <xf numFmtId="43" fontId="0" fillId="0" borderId="0" xfId="0" applyNumberFormat="1" applyAlignment="1">
      <alignment horizontal="center"/>
    </xf>
  </cellXfs>
  <cellStyles count="5">
    <cellStyle name="Entrada" xfId="3" builtinId="20"/>
    <cellStyle name="Millares" xfId="1" builtinId="3"/>
    <cellStyle name="Normal" xfId="0" builtinId="0"/>
    <cellStyle name="Notas" xfId="4" builtinId="1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"/>
  <sheetViews>
    <sheetView topLeftCell="D1" zoomScaleNormal="100" workbookViewId="0">
      <selection activeCell="C1" sqref="C1"/>
    </sheetView>
  </sheetViews>
  <sheetFormatPr baseColWidth="10" defaultRowHeight="14.4" x14ac:dyDescent="0.3"/>
  <cols>
    <col min="3" max="3" width="7.5546875" customWidth="1"/>
    <col min="4" max="4" width="11" customWidth="1"/>
    <col min="5" max="6" width="40.88671875" customWidth="1"/>
    <col min="7" max="7" width="40.88671875" style="1" customWidth="1"/>
    <col min="8" max="10" width="22.109375" customWidth="1"/>
  </cols>
  <sheetData>
    <row r="1" spans="2:10" ht="18" x14ac:dyDescent="0.35">
      <c r="C1" s="35" t="s">
        <v>233</v>
      </c>
    </row>
    <row r="2" spans="2:10" x14ac:dyDescent="0.3">
      <c r="C2" s="6"/>
      <c r="D2" s="6"/>
      <c r="E2" s="6"/>
      <c r="F2" s="6"/>
      <c r="G2" s="7"/>
      <c r="H2" s="6"/>
      <c r="I2" s="6"/>
      <c r="J2" s="6"/>
    </row>
    <row r="3" spans="2:10" s="2" customFormat="1" x14ac:dyDescent="0.3">
      <c r="C3" s="9" t="s">
        <v>40</v>
      </c>
      <c r="D3" s="9" t="s">
        <v>41</v>
      </c>
      <c r="E3" s="9" t="s">
        <v>235</v>
      </c>
      <c r="F3" s="9" t="s">
        <v>0</v>
      </c>
      <c r="G3" s="9" t="s">
        <v>207</v>
      </c>
      <c r="H3" s="9" t="s">
        <v>208</v>
      </c>
      <c r="I3" s="9" t="s">
        <v>209</v>
      </c>
      <c r="J3" s="9" t="s">
        <v>210</v>
      </c>
    </row>
    <row r="4" spans="2:10" s="57" customFormat="1" ht="28.8" x14ac:dyDescent="0.3">
      <c r="B4" s="52"/>
      <c r="C4" s="53" t="str">
        <f>'TABLA MEJORA ENERGÉTICA +'!C4</f>
        <v>FASE I</v>
      </c>
      <c r="D4" s="53" t="str">
        <f>'TABLA MEJORA ENERGÉTICA +'!D4</f>
        <v>E01</v>
      </c>
      <c r="E4" s="58" t="s">
        <v>237</v>
      </c>
      <c r="F4" s="58" t="str">
        <f>'TABLA MEJORA ENERGÉTICA +'!F4</f>
        <v>Incorporación de Sistema Fotovoltaico</v>
      </c>
      <c r="G4" s="54" t="s">
        <v>240</v>
      </c>
      <c r="H4" s="55">
        <f>'TABLA MEJORA ENERGÉTICA +'!G4</f>
        <v>20700</v>
      </c>
      <c r="I4" s="56" t="str">
        <f>+E36</f>
        <v>-          Elevada</v>
      </c>
      <c r="J4" s="55" t="str">
        <f>+E26</f>
        <v>-          Rango 04</v>
      </c>
    </row>
    <row r="5" spans="2:10" s="57" customFormat="1" ht="28.8" x14ac:dyDescent="0.3">
      <c r="B5" s="52"/>
      <c r="C5" s="53" t="str">
        <f>'TABLA MEJORA ENERGÉTICA +'!C5</f>
        <v>FASE I</v>
      </c>
      <c r="D5" s="53" t="str">
        <f>'TABLA MEJORA ENERGÉTICA +'!D5</f>
        <v>E02</v>
      </c>
      <c r="E5" s="58" t="s">
        <v>236</v>
      </c>
      <c r="F5" s="58" t="str">
        <f>'TABLA MEJORA ENERGÉTICA +'!F5</f>
        <v>Aislamiento de medianería Ficticia (nº20)</v>
      </c>
      <c r="G5" s="54" t="s">
        <v>241</v>
      </c>
      <c r="H5" s="55">
        <f>'TABLA MEJORA ENERGÉTICA +'!G5</f>
        <v>7415</v>
      </c>
      <c r="I5" s="56" t="str">
        <f>+E35</f>
        <v>-          Media</v>
      </c>
      <c r="J5" s="55" t="str">
        <f>+E25</f>
        <v>-          Rango 03</v>
      </c>
    </row>
    <row r="6" spans="2:10" s="57" customFormat="1" ht="28.8" x14ac:dyDescent="0.3">
      <c r="B6" s="52"/>
      <c r="C6" s="53" t="str">
        <f>'TABLA MEJORA ENERGÉTICA +'!C6</f>
        <v>FASE I</v>
      </c>
      <c r="D6" s="53" t="str">
        <f>'TABLA MEJORA ENERGÉTICA +'!D6</f>
        <v>E03</v>
      </c>
      <c r="E6" s="58" t="s">
        <v>236</v>
      </c>
      <c r="F6" s="58" t="str">
        <f>'TABLA MEJORA ENERGÉTICA +'!F6</f>
        <v>Adición de aislamiento térmico en fachada por el interior</v>
      </c>
      <c r="G6" s="54" t="s">
        <v>242</v>
      </c>
      <c r="H6" s="55">
        <f>'TABLA MEJORA ENERGÉTICA +'!G6</f>
        <v>40761.599999999999</v>
      </c>
      <c r="I6" s="56" t="str">
        <f>+E37</f>
        <v>-          Muy Elevada</v>
      </c>
      <c r="J6" s="55" t="str">
        <f>+E27</f>
        <v>-          Rango 05</v>
      </c>
    </row>
    <row r="7" spans="2:10" s="57" customFormat="1" x14ac:dyDescent="0.3">
      <c r="B7" s="52"/>
      <c r="C7" s="53" t="str">
        <f>'TABLA MEJORA ENERGÉTICA +'!C7</f>
        <v>FASE II</v>
      </c>
      <c r="D7" s="53" t="str">
        <f>'TABLA MEJORA ENERGÉTICA +'!D7</f>
        <v>E04</v>
      </c>
      <c r="E7" s="58" t="s">
        <v>238</v>
      </c>
      <c r="F7" s="58" t="str">
        <f>'TABLA MEJORA ENERGÉTICA +'!F7</f>
        <v>Instalación Solar Térmica para ACS</v>
      </c>
      <c r="G7" s="54" t="s">
        <v>242</v>
      </c>
      <c r="H7" s="55">
        <f>'TABLA MEJORA ENERGÉTICA +'!G7</f>
        <v>14520</v>
      </c>
      <c r="I7" s="56" t="str">
        <f>+E35</f>
        <v>-          Media</v>
      </c>
      <c r="J7" s="55" t="str">
        <f>+E26</f>
        <v>-          Rango 04</v>
      </c>
    </row>
    <row r="8" spans="2:10" s="57" customFormat="1" ht="28.8" x14ac:dyDescent="0.3">
      <c r="B8" s="52"/>
      <c r="C8" s="53" t="str">
        <f>'TABLA MEJORA ENERGÉTICA +'!C8</f>
        <v>FASE II</v>
      </c>
      <c r="D8" s="53" t="str">
        <f>'TABLA MEJORA ENERGÉTICA +'!D8</f>
        <v>E05</v>
      </c>
      <c r="E8" s="58" t="s">
        <v>236</v>
      </c>
      <c r="F8" s="58" t="str">
        <f>'TABLA MEJORA ENERGÉTICA +'!F8</f>
        <v>Mejora de estanquidad de las ventanas</v>
      </c>
      <c r="G8" s="54" t="s">
        <v>241</v>
      </c>
      <c r="H8" s="55">
        <f>'TABLA MEJORA ENERGÉTICA +'!G8</f>
        <v>9000</v>
      </c>
      <c r="I8" s="56" t="str">
        <f>+E34</f>
        <v>-          Poca</v>
      </c>
      <c r="J8" s="55" t="str">
        <f>+E25</f>
        <v>-          Rango 03</v>
      </c>
    </row>
    <row r="9" spans="2:10" s="57" customFormat="1" ht="28.8" x14ac:dyDescent="0.3">
      <c r="B9" s="52"/>
      <c r="C9" s="53" t="str">
        <f>'TABLA MEJORA ENERGÉTICA +'!C9</f>
        <v>FASE II</v>
      </c>
      <c r="D9" s="53" t="str">
        <f>'TABLA MEJORA ENERGÉTICA +'!D9</f>
        <v>E06</v>
      </c>
      <c r="E9" s="58" t="s">
        <v>236</v>
      </c>
      <c r="F9" s="58" t="str">
        <f>'TABLA MEJORA ENERGÉTICA +'!F9</f>
        <v>Sustitución de vidrios por otros más aislantes</v>
      </c>
      <c r="G9" s="54" t="s">
        <v>241</v>
      </c>
      <c r="H9" s="55">
        <f>'TABLA MEJORA ENERGÉTICA +'!G9</f>
        <v>13500</v>
      </c>
      <c r="I9" s="56" t="str">
        <f>+E35</f>
        <v>-          Media</v>
      </c>
      <c r="J9" s="55" t="str">
        <f>+E26</f>
        <v>-          Rango 04</v>
      </c>
    </row>
    <row r="10" spans="2:10" s="57" customFormat="1" ht="28.8" x14ac:dyDescent="0.3">
      <c r="B10" s="52"/>
      <c r="C10" s="53" t="str">
        <f>'TABLA MEJORA ENERGÉTICA +'!C10</f>
        <v>FASE II</v>
      </c>
      <c r="D10" s="53" t="str">
        <f>'TABLA MEJORA ENERGÉTICA +'!D10</f>
        <v>E07</v>
      </c>
      <c r="E10" s="58" t="s">
        <v>236</v>
      </c>
      <c r="F10" s="58" t="str">
        <f>'TABLA MEJORA ENERGÉTICA +'!F10</f>
        <v>Adición de Aislamiento térmico en el bajo cubierta</v>
      </c>
      <c r="G10" s="54" t="s">
        <v>241</v>
      </c>
      <c r="H10" s="55">
        <f>'TABLA MEJORA ENERGÉTICA +'!G10</f>
        <v>7425</v>
      </c>
      <c r="I10" s="56" t="str">
        <f>+E36</f>
        <v>-          Elevada</v>
      </c>
      <c r="J10" s="55" t="str">
        <f>+E25</f>
        <v>-          Rango 03</v>
      </c>
    </row>
    <row r="11" spans="2:10" s="57" customFormat="1" ht="28.8" x14ac:dyDescent="0.3">
      <c r="B11" s="52"/>
      <c r="C11" s="53" t="str">
        <f>'TABLA MEJORA ENERGÉTICA +'!C13</f>
        <v>FASE II</v>
      </c>
      <c r="D11" s="53" t="str">
        <f>'TABLA MEJORA ENERGÉTICA +'!D13</f>
        <v>E08</v>
      </c>
      <c r="E11" s="58" t="s">
        <v>239</v>
      </c>
      <c r="F11" s="58" t="str">
        <f>'TABLA MEJORA ENERGÉTICA +'!F13</f>
        <v>Sustitución luminarias y lámp zonas comunes por LED Spot</v>
      </c>
      <c r="G11" s="54" t="s">
        <v>243</v>
      </c>
      <c r="H11" s="55">
        <f>'TABLA MEJORA ENERGÉTICA +'!G13</f>
        <v>2871</v>
      </c>
      <c r="I11" s="56" t="str">
        <f>+E34</f>
        <v>-          Poca</v>
      </c>
      <c r="J11" s="55" t="str">
        <f>+E25</f>
        <v>-          Rango 03</v>
      </c>
    </row>
    <row r="12" spans="2:10" s="57" customFormat="1" ht="28.8" x14ac:dyDescent="0.3">
      <c r="B12" s="52"/>
      <c r="C12" s="53" t="str">
        <f>'TABLA MEJORA ENERGÉTICA +'!C14</f>
        <v>FASE II</v>
      </c>
      <c r="D12" s="53" t="str">
        <f>'TABLA MEJORA ENERGÉTICA +'!D14</f>
        <v>E09</v>
      </c>
      <c r="E12" s="58" t="s">
        <v>239</v>
      </c>
      <c r="F12" s="58" t="str">
        <f>'TABLA MEJORA ENERGÉTICA +'!F14</f>
        <v>Sustitución luminarias y lámp en Viviendas por LED Spot</v>
      </c>
      <c r="G12" s="54" t="s">
        <v>243</v>
      </c>
      <c r="H12" s="55">
        <f>'TABLA MEJORA ENERGÉTICA +'!G14</f>
        <v>10280.52</v>
      </c>
      <c r="I12" s="56" t="str">
        <f>+E33</f>
        <v>-          Mínima</v>
      </c>
      <c r="J12" s="55" t="str">
        <f>+E26</f>
        <v>-          Rango 04</v>
      </c>
    </row>
    <row r="13" spans="2:10" s="57" customFormat="1" x14ac:dyDescent="0.3">
      <c r="B13" s="52"/>
      <c r="C13" s="53"/>
      <c r="D13" s="53"/>
      <c r="E13" s="58"/>
      <c r="F13" s="58"/>
      <c r="G13" s="54"/>
      <c r="H13" s="55"/>
      <c r="I13" s="56"/>
      <c r="J13" s="55"/>
    </row>
    <row r="14" spans="2:10" s="57" customFormat="1" x14ac:dyDescent="0.3">
      <c r="B14" s="52"/>
      <c r="C14" s="53"/>
      <c r="D14" s="53"/>
      <c r="E14" s="58"/>
      <c r="F14" s="58"/>
      <c r="G14" s="54"/>
      <c r="H14" s="55"/>
      <c r="I14" s="56"/>
      <c r="J14" s="55"/>
    </row>
    <row r="15" spans="2:10" s="57" customFormat="1" x14ac:dyDescent="0.3">
      <c r="B15" s="52"/>
      <c r="C15" s="53"/>
      <c r="D15" s="53"/>
      <c r="E15" s="58"/>
      <c r="F15" s="58"/>
      <c r="G15" s="54"/>
      <c r="H15" s="55"/>
      <c r="I15" s="56"/>
      <c r="J15" s="55"/>
    </row>
    <row r="16" spans="2:10" x14ac:dyDescent="0.3">
      <c r="C16" s="10"/>
      <c r="D16" s="10"/>
      <c r="E16" s="10"/>
      <c r="F16" s="10"/>
      <c r="G16" s="11"/>
      <c r="H16" s="10"/>
      <c r="I16" s="13"/>
      <c r="J16" s="10"/>
    </row>
    <row r="17" spans="3:10" x14ac:dyDescent="0.3">
      <c r="C17" s="48"/>
      <c r="D17" s="48"/>
      <c r="E17" s="48"/>
      <c r="F17" s="48" t="s">
        <v>234</v>
      </c>
      <c r="G17" s="49"/>
      <c r="H17" s="49"/>
      <c r="I17" s="50"/>
      <c r="J17" s="49"/>
    </row>
    <row r="18" spans="3:10" x14ac:dyDescent="0.3">
      <c r="C18" s="10"/>
      <c r="D18" s="10"/>
      <c r="E18" s="10"/>
      <c r="F18" s="10"/>
      <c r="G18" s="11"/>
      <c r="H18" s="10"/>
      <c r="I18" s="13"/>
      <c r="J18" s="10"/>
    </row>
    <row r="19" spans="3:10" s="2" customFormat="1" x14ac:dyDescent="0.3">
      <c r="C19" s="10"/>
      <c r="D19" s="10"/>
      <c r="E19" s="10"/>
      <c r="F19" s="9" t="s">
        <v>0</v>
      </c>
      <c r="G19" s="9" t="s">
        <v>207</v>
      </c>
      <c r="H19" s="9" t="s">
        <v>208</v>
      </c>
      <c r="I19" s="9" t="s">
        <v>209</v>
      </c>
      <c r="J19" s="9" t="s">
        <v>210</v>
      </c>
    </row>
    <row r="20" spans="3:10" x14ac:dyDescent="0.3">
      <c r="C20" s="10"/>
      <c r="D20" s="10"/>
      <c r="E20" s="10"/>
      <c r="F20" s="17"/>
      <c r="G20" s="18"/>
      <c r="H20" s="18">
        <f>SUM(H4:H19)</f>
        <v>126473.12000000001</v>
      </c>
      <c r="I20" s="19"/>
      <c r="J20" s="18"/>
    </row>
    <row r="21" spans="3:10" x14ac:dyDescent="0.3">
      <c r="G21"/>
      <c r="I21" s="1"/>
    </row>
    <row r="22" spans="3:10" x14ac:dyDescent="0.3">
      <c r="E22" s="59" t="s">
        <v>211</v>
      </c>
    </row>
    <row r="23" spans="3:10" x14ac:dyDescent="0.3">
      <c r="E23" s="60" t="s">
        <v>212</v>
      </c>
      <c r="F23" s="60" t="s">
        <v>213</v>
      </c>
    </row>
    <row r="24" spans="3:10" x14ac:dyDescent="0.3">
      <c r="E24" s="60" t="s">
        <v>214</v>
      </c>
      <c r="F24" s="60" t="s">
        <v>215</v>
      </c>
      <c r="G24" s="8"/>
    </row>
    <row r="25" spans="3:10" x14ac:dyDescent="0.3">
      <c r="E25" s="60" t="s">
        <v>216</v>
      </c>
      <c r="F25" s="60" t="s">
        <v>217</v>
      </c>
    </row>
    <row r="26" spans="3:10" x14ac:dyDescent="0.3">
      <c r="E26" s="60" t="s">
        <v>218</v>
      </c>
      <c r="F26" s="60" t="s">
        <v>219</v>
      </c>
      <c r="G26" s="22"/>
    </row>
    <row r="27" spans="3:10" x14ac:dyDescent="0.3">
      <c r="E27" s="60" t="s">
        <v>220</v>
      </c>
      <c r="F27" s="60" t="s">
        <v>221</v>
      </c>
    </row>
    <row r="28" spans="3:10" x14ac:dyDescent="0.3">
      <c r="E28" s="60" t="s">
        <v>222</v>
      </c>
      <c r="F28" s="60" t="s">
        <v>223</v>
      </c>
      <c r="G28" s="8"/>
    </row>
    <row r="29" spans="3:10" x14ac:dyDescent="0.3">
      <c r="E29" s="60" t="s">
        <v>224</v>
      </c>
      <c r="F29" s="60" t="s">
        <v>225</v>
      </c>
    </row>
    <row r="30" spans="3:10" x14ac:dyDescent="0.3">
      <c r="D30" s="1"/>
      <c r="E30" s="1"/>
      <c r="I30" s="4"/>
    </row>
    <row r="31" spans="3:10" x14ac:dyDescent="0.3">
      <c r="E31" s="59" t="s">
        <v>226</v>
      </c>
      <c r="I31" s="4"/>
    </row>
    <row r="32" spans="3:10" x14ac:dyDescent="0.3">
      <c r="E32" s="60" t="s">
        <v>227</v>
      </c>
      <c r="I32" s="4"/>
    </row>
    <row r="33" spans="5:7" x14ac:dyDescent="0.3">
      <c r="E33" s="60" t="s">
        <v>228</v>
      </c>
    </row>
    <row r="34" spans="5:7" x14ac:dyDescent="0.3">
      <c r="E34" s="60" t="s">
        <v>229</v>
      </c>
      <c r="G34" s="8"/>
    </row>
    <row r="35" spans="5:7" x14ac:dyDescent="0.3">
      <c r="E35" s="60" t="s">
        <v>230</v>
      </c>
    </row>
    <row r="36" spans="5:7" x14ac:dyDescent="0.3">
      <c r="E36" s="60" t="s">
        <v>231</v>
      </c>
      <c r="G36" s="8"/>
    </row>
    <row r="37" spans="5:7" x14ac:dyDescent="0.3">
      <c r="E37" s="60" t="s">
        <v>232</v>
      </c>
    </row>
  </sheetData>
  <pageMargins left="0.25" right="0.25" top="0.75" bottom="0.75" header="0.3" footer="0.3"/>
  <pageSetup paperSize="9" scale="68" fitToHeight="0" orientation="landscape" r:id="rId1"/>
  <headerFooter>
    <oddHeader>&amp;L&amp;F&amp;R&amp;A</oddHeader>
    <oddFooter>&amp;L&amp;P -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6"/>
  <sheetViews>
    <sheetView zoomScaleNormal="100" workbookViewId="0">
      <selection activeCell="M25" sqref="M25"/>
    </sheetView>
  </sheetViews>
  <sheetFormatPr baseColWidth="10" defaultRowHeight="14.4" x14ac:dyDescent="0.3"/>
  <cols>
    <col min="3" max="3" width="7.5546875" customWidth="1"/>
    <col min="4" max="4" width="8.88671875" customWidth="1"/>
    <col min="5" max="5" width="12.109375" customWidth="1"/>
    <col min="6" max="6" width="53.109375" customWidth="1"/>
    <col min="7" max="7" width="15.44140625" style="1" customWidth="1"/>
    <col min="8" max="8" width="15.44140625" customWidth="1"/>
    <col min="9" max="9" width="11" customWidth="1"/>
    <col min="10" max="10" width="14.109375" customWidth="1"/>
    <col min="11" max="11" width="11.88671875" customWidth="1"/>
    <col min="12" max="12" width="12.109375" customWidth="1"/>
    <col min="13" max="13" width="15.33203125" customWidth="1"/>
    <col min="14" max="14" width="14" customWidth="1"/>
    <col min="15" max="15" width="13.44140625" customWidth="1"/>
    <col min="16" max="16" width="11" customWidth="1"/>
    <col min="17" max="17" width="13.33203125" customWidth="1"/>
  </cols>
  <sheetData>
    <row r="1" spans="2:17" ht="18" x14ac:dyDescent="0.35">
      <c r="C1" s="35" t="s">
        <v>244</v>
      </c>
    </row>
    <row r="2" spans="2:17" x14ac:dyDescent="0.3">
      <c r="C2" s="6"/>
      <c r="D2" s="6"/>
      <c r="E2" s="6"/>
      <c r="F2" s="6"/>
      <c r="G2" s="7"/>
      <c r="H2" s="6" t="s">
        <v>32</v>
      </c>
      <c r="I2" s="6"/>
      <c r="J2" s="6" t="s">
        <v>31</v>
      </c>
      <c r="K2" s="6"/>
      <c r="L2" s="6"/>
      <c r="M2" s="6" t="s">
        <v>31</v>
      </c>
      <c r="N2" s="6"/>
      <c r="O2" s="6" t="s">
        <v>32</v>
      </c>
      <c r="P2" s="6"/>
      <c r="Q2" s="6" t="s">
        <v>31</v>
      </c>
    </row>
    <row r="3" spans="2:17" s="2" customFormat="1" ht="57.6" x14ac:dyDescent="0.3">
      <c r="C3" s="9" t="s">
        <v>40</v>
      </c>
      <c r="D3" s="9" t="s">
        <v>41</v>
      </c>
      <c r="E3" s="9" t="s">
        <v>53</v>
      </c>
      <c r="F3" s="9" t="s">
        <v>0</v>
      </c>
      <c r="G3" s="9" t="s">
        <v>6</v>
      </c>
      <c r="H3" s="9" t="s">
        <v>7</v>
      </c>
      <c r="I3" s="9" t="s">
        <v>35</v>
      </c>
      <c r="J3" s="9" t="s">
        <v>7</v>
      </c>
      <c r="K3" s="9" t="s">
        <v>33</v>
      </c>
      <c r="L3" s="9" t="s">
        <v>20</v>
      </c>
      <c r="M3" s="9" t="s">
        <v>8</v>
      </c>
      <c r="N3" s="9" t="s">
        <v>9</v>
      </c>
      <c r="O3" s="9" t="s">
        <v>10</v>
      </c>
      <c r="P3" s="9" t="s">
        <v>35</v>
      </c>
      <c r="Q3" s="9" t="s">
        <v>10</v>
      </c>
    </row>
    <row r="4" spans="2:17" x14ac:dyDescent="0.3">
      <c r="B4" s="15">
        <f>+K4</f>
        <v>0.14133451431945679</v>
      </c>
      <c r="C4" s="10" t="s">
        <v>39</v>
      </c>
      <c r="D4" s="10" t="s">
        <v>56</v>
      </c>
      <c r="E4" s="10" t="s">
        <v>54</v>
      </c>
      <c r="F4" s="16" t="s">
        <v>50</v>
      </c>
      <c r="G4" s="11">
        <v>20700</v>
      </c>
      <c r="H4" s="12">
        <f>+(+$G$32-290.83)*$G$31</f>
        <v>41024.590000000004</v>
      </c>
      <c r="I4" s="13">
        <v>1</v>
      </c>
      <c r="J4" s="12">
        <f t="shared" ref="J4:J10" si="0">+H4*I4</f>
        <v>41024.590000000004</v>
      </c>
      <c r="K4" s="13">
        <f t="shared" ref="K4:K10" si="1">+J4/$G$33</f>
        <v>0.14133451431945679</v>
      </c>
      <c r="L4" s="14">
        <f t="shared" ref="L4:L10" si="2">+$G$34</f>
        <v>0.29554200000000003</v>
      </c>
      <c r="M4" s="11">
        <f t="shared" ref="M4:M10" si="3">+J4*L4</f>
        <v>12124.489377780003</v>
      </c>
      <c r="N4" s="12">
        <f t="shared" ref="N4:N10" si="4">+G4/M4</f>
        <v>1.7072883941764958</v>
      </c>
      <c r="O4" s="12">
        <f>+(+$G$36-49.27)*$G$31/1000</f>
        <v>6.9674099999999966</v>
      </c>
      <c r="P4" s="13">
        <f t="shared" ref="P4:P10" si="5">I4</f>
        <v>1</v>
      </c>
      <c r="Q4" s="12">
        <f t="shared" ref="Q4:Q10" si="6">+O4*P4</f>
        <v>6.9674099999999966</v>
      </c>
    </row>
    <row r="5" spans="2:17" x14ac:dyDescent="0.3">
      <c r="B5" s="15">
        <f>+K5+B4</f>
        <v>0.28263524651234256</v>
      </c>
      <c r="C5" s="10" t="s">
        <v>39</v>
      </c>
      <c r="D5" s="10" t="s">
        <v>57</v>
      </c>
      <c r="E5" s="10" t="s">
        <v>54</v>
      </c>
      <c r="F5" s="16" t="s">
        <v>21</v>
      </c>
      <c r="G5" s="11">
        <v>7415</v>
      </c>
      <c r="H5" s="12">
        <f>+(+$G$32-188.04)*$G$31</f>
        <v>129115.62</v>
      </c>
      <c r="I5" s="13">
        <v>0.31765935214211077</v>
      </c>
      <c r="J5" s="12">
        <f t="shared" si="0"/>
        <v>41014.784200626957</v>
      </c>
      <c r="K5" s="13">
        <f t="shared" si="1"/>
        <v>0.14130073219288578</v>
      </c>
      <c r="L5" s="14">
        <f t="shared" si="2"/>
        <v>0.29554200000000003</v>
      </c>
      <c r="M5" s="11">
        <f t="shared" si="3"/>
        <v>12121.591352221692</v>
      </c>
      <c r="N5" s="12">
        <f t="shared" si="4"/>
        <v>0.6117183614378281</v>
      </c>
      <c r="O5" s="12">
        <f>+(+$G$36-31.85)*$G$31/1000</f>
        <v>21.896349999999998</v>
      </c>
      <c r="P5" s="13">
        <f t="shared" si="5"/>
        <v>0.31765935214211077</v>
      </c>
      <c r="Q5" s="12">
        <f t="shared" si="6"/>
        <v>6.9555803552769069</v>
      </c>
    </row>
    <row r="6" spans="2:17" x14ac:dyDescent="0.3">
      <c r="B6" s="15">
        <f t="shared" ref="B6:B10" si="7">+K6+B5</f>
        <v>0.40752452906327263</v>
      </c>
      <c r="C6" s="10" t="s">
        <v>39</v>
      </c>
      <c r="D6" s="10" t="s">
        <v>58</v>
      </c>
      <c r="E6" s="10" t="s">
        <v>54</v>
      </c>
      <c r="F6" s="16" t="s">
        <v>51</v>
      </c>
      <c r="G6" s="11">
        <v>40761.599999999999</v>
      </c>
      <c r="H6" s="12">
        <f>+(+$G$32-296.4)*$G$31</f>
        <v>36251.100000000013</v>
      </c>
      <c r="I6" s="13">
        <v>1</v>
      </c>
      <c r="J6" s="12">
        <f t="shared" si="0"/>
        <v>36251.100000000013</v>
      </c>
      <c r="K6" s="13">
        <f t="shared" si="1"/>
        <v>0.12488928255093008</v>
      </c>
      <c r="L6" s="14">
        <f t="shared" si="2"/>
        <v>0.29554200000000003</v>
      </c>
      <c r="M6" s="11">
        <f t="shared" si="3"/>
        <v>10713.722596200005</v>
      </c>
      <c r="N6" s="12">
        <f t="shared" si="4"/>
        <v>3.8046159618186794</v>
      </c>
      <c r="O6" s="12">
        <f>+(+$G$36-50.21)*$G$31/1000</f>
        <v>6.1618299999999984</v>
      </c>
      <c r="P6" s="13">
        <f t="shared" si="5"/>
        <v>1</v>
      </c>
      <c r="Q6" s="12">
        <f t="shared" si="6"/>
        <v>6.1618299999999984</v>
      </c>
    </row>
    <row r="7" spans="2:17" x14ac:dyDescent="0.3">
      <c r="B7" s="15">
        <f t="shared" si="7"/>
        <v>0.47365975197440335</v>
      </c>
      <c r="C7" s="10" t="s">
        <v>42</v>
      </c>
      <c r="D7" s="10" t="s">
        <v>59</v>
      </c>
      <c r="E7" s="10" t="s">
        <v>54</v>
      </c>
      <c r="F7" s="16" t="s">
        <v>37</v>
      </c>
      <c r="G7" s="11">
        <v>14520</v>
      </c>
      <c r="H7" s="12">
        <f>+(+$G$32-316.3)*$G$31</f>
        <v>19196.799999999981</v>
      </c>
      <c r="I7" s="13">
        <v>1</v>
      </c>
      <c r="J7" s="12">
        <f t="shared" si="0"/>
        <v>19196.799999999981</v>
      </c>
      <c r="K7" s="13">
        <f t="shared" si="1"/>
        <v>6.6135222911130734E-2</v>
      </c>
      <c r="L7" s="14">
        <f t="shared" si="2"/>
        <v>0.29554200000000003</v>
      </c>
      <c r="M7" s="11">
        <f t="shared" si="3"/>
        <v>5673.4606655999951</v>
      </c>
      <c r="N7" s="12">
        <f t="shared" si="4"/>
        <v>2.559284510076786</v>
      </c>
      <c r="O7" s="12">
        <f>+(+$G$36-53.58)*$G$31/1000</f>
        <v>3.2737400000000001</v>
      </c>
      <c r="P7" s="13">
        <f t="shared" si="5"/>
        <v>1</v>
      </c>
      <c r="Q7" s="12">
        <f t="shared" si="6"/>
        <v>3.2737400000000001</v>
      </c>
    </row>
    <row r="8" spans="2:17" x14ac:dyDescent="0.3">
      <c r="B8" s="15">
        <f t="shared" si="7"/>
        <v>0.49183512841373017</v>
      </c>
      <c r="C8" s="10" t="s">
        <v>42</v>
      </c>
      <c r="D8" s="10" t="s">
        <v>60</v>
      </c>
      <c r="E8" s="10" t="s">
        <v>54</v>
      </c>
      <c r="F8" s="16" t="s">
        <v>36</v>
      </c>
      <c r="G8" s="11">
        <v>9000</v>
      </c>
      <c r="H8" s="12">
        <f>+(+$G$32-328.44)*$G$31</f>
        <v>8792.8199999999924</v>
      </c>
      <c r="I8" s="13">
        <v>0.6</v>
      </c>
      <c r="J8" s="12">
        <f t="shared" si="0"/>
        <v>5275.6919999999955</v>
      </c>
      <c r="K8" s="13">
        <f t="shared" si="1"/>
        <v>1.8175376439326825E-2</v>
      </c>
      <c r="L8" s="14">
        <f t="shared" si="2"/>
        <v>0.29554200000000003</v>
      </c>
      <c r="M8" s="11">
        <f t="shared" si="3"/>
        <v>1559.1885650639988</v>
      </c>
      <c r="N8" s="12">
        <f t="shared" si="4"/>
        <v>5.7722331997929857</v>
      </c>
      <c r="O8" s="12">
        <f>+(+$G$36-55.64)*$G$31/1000</f>
        <v>1.5083199999999983</v>
      </c>
      <c r="P8" s="13">
        <f t="shared" si="5"/>
        <v>0.6</v>
      </c>
      <c r="Q8" s="12">
        <f t="shared" si="6"/>
        <v>0.90499199999999891</v>
      </c>
    </row>
    <row r="9" spans="2:17" x14ac:dyDescent="0.3">
      <c r="B9" s="15">
        <f t="shared" si="7"/>
        <v>0.50749500441018713</v>
      </c>
      <c r="C9" s="10" t="s">
        <v>42</v>
      </c>
      <c r="D9" s="10" t="s">
        <v>61</v>
      </c>
      <c r="E9" s="10" t="s">
        <v>54</v>
      </c>
      <c r="F9" s="16" t="s">
        <v>38</v>
      </c>
      <c r="G9" s="11">
        <v>13500</v>
      </c>
      <c r="H9" s="12">
        <f>+(+$G$32-329.86)*$G$31</f>
        <v>7575.8799999999783</v>
      </c>
      <c r="I9" s="13">
        <v>0.6</v>
      </c>
      <c r="J9" s="12">
        <f t="shared" si="0"/>
        <v>4545.5279999999866</v>
      </c>
      <c r="K9" s="13">
        <f t="shared" si="1"/>
        <v>1.5659875996456997E-2</v>
      </c>
      <c r="L9" s="14">
        <f t="shared" si="2"/>
        <v>0.29554200000000003</v>
      </c>
      <c r="M9" s="11">
        <f t="shared" si="3"/>
        <v>1343.3944361759961</v>
      </c>
      <c r="N9" s="12">
        <f t="shared" si="4"/>
        <v>10.049170695114734</v>
      </c>
      <c r="O9" s="12">
        <f>+(+$G$36-55.88)*$G$31/1000</f>
        <v>1.3026399999999967</v>
      </c>
      <c r="P9" s="13">
        <f t="shared" si="5"/>
        <v>0.6</v>
      </c>
      <c r="Q9" s="12">
        <f t="shared" si="6"/>
        <v>0.78158399999999795</v>
      </c>
    </row>
    <row r="10" spans="2:17" x14ac:dyDescent="0.3">
      <c r="B10" s="15">
        <f t="shared" si="7"/>
        <v>0.52567566585672143</v>
      </c>
      <c r="C10" s="10" t="s">
        <v>42</v>
      </c>
      <c r="D10" s="10" t="s">
        <v>62</v>
      </c>
      <c r="E10" s="10" t="s">
        <v>54</v>
      </c>
      <c r="F10" s="16" t="s">
        <v>26</v>
      </c>
      <c r="G10" s="11">
        <v>7425</v>
      </c>
      <c r="H10" s="12">
        <f>+(+$G$32-330.83)*$G$31</f>
        <v>6744.5900000000038</v>
      </c>
      <c r="I10" s="13">
        <f>129.83/165.93</f>
        <v>0.78243837762912072</v>
      </c>
      <c r="J10" s="12">
        <f t="shared" si="0"/>
        <v>5277.2260573735939</v>
      </c>
      <c r="K10" s="13">
        <f t="shared" si="1"/>
        <v>1.8180661446534348E-2</v>
      </c>
      <c r="L10" s="14">
        <f t="shared" si="2"/>
        <v>0.29554200000000003</v>
      </c>
      <c r="M10" s="11">
        <f t="shared" si="3"/>
        <v>1559.6419434483068</v>
      </c>
      <c r="N10" s="12">
        <f t="shared" si="4"/>
        <v>4.7607080786655542</v>
      </c>
      <c r="O10" s="12">
        <f>+(+$G$36-56.04)*$G$31/1000</f>
        <v>1.1655199999999994</v>
      </c>
      <c r="P10" s="13">
        <f t="shared" si="5"/>
        <v>0.78243837762912072</v>
      </c>
      <c r="Q10" s="12">
        <f t="shared" si="6"/>
        <v>0.91194757789429237</v>
      </c>
    </row>
    <row r="11" spans="2:17" x14ac:dyDescent="0.3">
      <c r="C11" s="10"/>
      <c r="D11" s="10"/>
      <c r="E11" s="10"/>
      <c r="F11" s="10"/>
      <c r="G11" s="11"/>
      <c r="H11" s="10"/>
      <c r="I11" s="13"/>
      <c r="J11" s="10"/>
      <c r="K11" s="10"/>
      <c r="L11" s="10"/>
      <c r="M11" s="10"/>
      <c r="N11" s="10"/>
      <c r="O11" s="10"/>
      <c r="P11" s="10"/>
      <c r="Q11" s="10"/>
    </row>
    <row r="12" spans="2:17" x14ac:dyDescent="0.3">
      <c r="C12" s="48"/>
      <c r="D12" s="48"/>
      <c r="E12" s="48"/>
      <c r="F12" s="48" t="s">
        <v>55</v>
      </c>
      <c r="G12" s="49">
        <f>SUM(G4:G11)</f>
        <v>113321.60000000001</v>
      </c>
      <c r="H12" s="49">
        <f>SUM(H4:H11)</f>
        <v>248701.39999999997</v>
      </c>
      <c r="I12" s="50">
        <f>+J12/H12</f>
        <v>0.61352980022629788</v>
      </c>
      <c r="J12" s="49">
        <f>SUM(J4:J10)</f>
        <v>152585.72025800057</v>
      </c>
      <c r="K12" s="50">
        <f>SUM(K4:K11)</f>
        <v>0.52567566585672143</v>
      </c>
      <c r="L12" s="48"/>
      <c r="M12" s="49">
        <f>SUM(M4:M11)</f>
        <v>45095.488936489986</v>
      </c>
      <c r="N12" s="51">
        <f>+G12/M12</f>
        <v>2.5129254094482918</v>
      </c>
      <c r="O12" s="48"/>
      <c r="P12" s="48"/>
      <c r="Q12" s="49">
        <f>SUM(Q4:Q11)</f>
        <v>25.957083933171194</v>
      </c>
    </row>
    <row r="13" spans="2:17" x14ac:dyDescent="0.3">
      <c r="B13" s="15">
        <f>+K13+B10</f>
        <v>0.53240208304006953</v>
      </c>
      <c r="C13" s="10" t="s">
        <v>42</v>
      </c>
      <c r="D13" s="10" t="s">
        <v>89</v>
      </c>
      <c r="E13" s="10" t="s">
        <v>91</v>
      </c>
      <c r="F13" s="16" t="s">
        <v>96</v>
      </c>
      <c r="G13" s="11">
        <v>2871</v>
      </c>
      <c r="H13" s="12">
        <f>82.5%*G44*7%</f>
        <v>1952.4495375000001</v>
      </c>
      <c r="I13" s="13">
        <v>1</v>
      </c>
      <c r="J13" s="12">
        <f>+H13*I13</f>
        <v>1952.4495375000001</v>
      </c>
      <c r="K13" s="13">
        <f>+J13/$G$33</f>
        <v>6.7264171833480973E-3</v>
      </c>
      <c r="L13" s="14">
        <f>+$G$34</f>
        <v>0.29554200000000003</v>
      </c>
      <c r="M13" s="11">
        <f>+J13*L13</f>
        <v>577.03084121182508</v>
      </c>
      <c r="N13" s="12">
        <f>+G13/M13</f>
        <v>4.9754706247080307</v>
      </c>
      <c r="O13" s="12">
        <f>82.5%*G45*7%</f>
        <v>0.38577</v>
      </c>
      <c r="P13" s="13">
        <f>I13</f>
        <v>1</v>
      </c>
      <c r="Q13" s="12">
        <f>+O13*P13</f>
        <v>0.38577</v>
      </c>
    </row>
    <row r="14" spans="2:17" x14ac:dyDescent="0.3">
      <c r="B14" s="15">
        <f>+K14+B13</f>
        <v>0.62176733990455135</v>
      </c>
      <c r="C14" s="10" t="s">
        <v>42</v>
      </c>
      <c r="D14" s="10" t="s">
        <v>90</v>
      </c>
      <c r="E14" s="10" t="s">
        <v>91</v>
      </c>
      <c r="F14" s="16" t="s">
        <v>95</v>
      </c>
      <c r="G14" s="11">
        <v>10280.52</v>
      </c>
      <c r="H14" s="12">
        <f>82.5%*G44*93%</f>
        <v>25939.686712500003</v>
      </c>
      <c r="I14" s="13">
        <v>1</v>
      </c>
      <c r="J14" s="12">
        <f>+H14*I14</f>
        <v>25939.686712500003</v>
      </c>
      <c r="K14" s="13">
        <f>+J14/$G$33</f>
        <v>8.9365256864481865E-2</v>
      </c>
      <c r="L14" s="14">
        <f>+$G$34</f>
        <v>0.29554200000000003</v>
      </c>
      <c r="M14" s="11">
        <f>+J14*L14</f>
        <v>7666.2668903856766</v>
      </c>
      <c r="N14" s="12">
        <f>+G14/M14</f>
        <v>1.3410073177719495</v>
      </c>
      <c r="O14" s="12">
        <f>82.5%*G45*93%</f>
        <v>5.1252299999999993</v>
      </c>
      <c r="P14" s="13">
        <f>I14</f>
        <v>1</v>
      </c>
      <c r="Q14" s="12">
        <f>+O14*P14</f>
        <v>5.1252299999999993</v>
      </c>
    </row>
    <row r="15" spans="2:17" x14ac:dyDescent="0.3">
      <c r="C15" s="10"/>
      <c r="D15" s="10"/>
      <c r="E15" s="10"/>
      <c r="F15" s="10"/>
      <c r="G15" s="11"/>
      <c r="H15" s="10"/>
      <c r="I15" s="13"/>
      <c r="J15" s="10"/>
      <c r="K15" s="10"/>
      <c r="L15" s="10"/>
      <c r="M15" s="10"/>
      <c r="N15" s="10"/>
      <c r="O15" s="10"/>
      <c r="P15" s="10"/>
      <c r="Q15" s="10"/>
    </row>
    <row r="16" spans="2:17" x14ac:dyDescent="0.3">
      <c r="C16" s="48"/>
      <c r="D16" s="48"/>
      <c r="E16" s="48"/>
      <c r="F16" s="48" t="s">
        <v>63</v>
      </c>
      <c r="G16" s="49">
        <f>SUM(G13:G15)</f>
        <v>13151.52</v>
      </c>
      <c r="H16" s="49">
        <f>SUM(H13:H15)</f>
        <v>27892.136250000003</v>
      </c>
      <c r="I16" s="50">
        <f>+J16/H16</f>
        <v>1</v>
      </c>
      <c r="J16" s="49">
        <f>SUM(J13:J14)</f>
        <v>27892.136250000003</v>
      </c>
      <c r="K16" s="50">
        <f>SUM(K13:K15)</f>
        <v>9.6091674047829964E-2</v>
      </c>
      <c r="L16" s="48"/>
      <c r="M16" s="49">
        <f>SUM(M13:M15)</f>
        <v>8243.2977315975022</v>
      </c>
      <c r="N16" s="51">
        <f>+G16/M16</f>
        <v>1.5954197492574751</v>
      </c>
      <c r="O16" s="48"/>
      <c r="P16" s="48"/>
      <c r="Q16" s="49">
        <f>SUM(Q13:Q15)</f>
        <v>5.5109999999999992</v>
      </c>
    </row>
    <row r="17" spans="3:17" x14ac:dyDescent="0.3">
      <c r="C17" s="10"/>
      <c r="D17" s="10"/>
      <c r="E17" s="10"/>
      <c r="F17" s="10"/>
      <c r="G17" s="11"/>
      <c r="H17" s="10"/>
      <c r="I17" s="13"/>
      <c r="J17" s="10"/>
      <c r="K17" s="10"/>
      <c r="L17" s="10"/>
      <c r="M17" s="10"/>
      <c r="N17" s="10"/>
      <c r="O17" s="10"/>
      <c r="P17" s="10"/>
      <c r="Q17" s="10"/>
    </row>
    <row r="18" spans="3:17" s="2" customFormat="1" ht="57.6" x14ac:dyDescent="0.3">
      <c r="C18" s="10"/>
      <c r="D18" s="10"/>
      <c r="E18" s="10"/>
      <c r="F18" s="9" t="s">
        <v>0</v>
      </c>
      <c r="G18" s="9" t="s">
        <v>6</v>
      </c>
      <c r="H18" s="9" t="s">
        <v>7</v>
      </c>
      <c r="I18" s="9" t="s">
        <v>35</v>
      </c>
      <c r="J18" s="9" t="s">
        <v>7</v>
      </c>
      <c r="K18" s="9" t="s">
        <v>33</v>
      </c>
      <c r="L18" s="9" t="s">
        <v>20</v>
      </c>
      <c r="M18" s="9" t="s">
        <v>8</v>
      </c>
      <c r="N18" s="9" t="s">
        <v>9</v>
      </c>
      <c r="O18" s="9" t="s">
        <v>10</v>
      </c>
      <c r="P18" s="9" t="s">
        <v>35</v>
      </c>
      <c r="Q18" s="9" t="s">
        <v>10</v>
      </c>
    </row>
    <row r="19" spans="3:17" x14ac:dyDescent="0.3">
      <c r="C19" s="10"/>
      <c r="D19" s="10"/>
      <c r="E19" s="10"/>
      <c r="F19" s="17" t="s">
        <v>97</v>
      </c>
      <c r="G19" s="18">
        <f>+G12+G16</f>
        <v>126473.12000000001</v>
      </c>
      <c r="H19" s="18">
        <f>+H12+H16</f>
        <v>276593.53624999995</v>
      </c>
      <c r="I19" s="19">
        <f>+J19/H19</f>
        <v>0.65250207562650742</v>
      </c>
      <c r="J19" s="18">
        <f>+J12+J16</f>
        <v>180477.85650800058</v>
      </c>
      <c r="K19" s="19">
        <f>+K16+K12</f>
        <v>0.62176733990455135</v>
      </c>
      <c r="L19" s="17"/>
      <c r="M19" s="18">
        <f>+M12+M16</f>
        <v>53338.786668087487</v>
      </c>
      <c r="N19" s="20">
        <f>+G19/M19</f>
        <v>2.3711285520423862</v>
      </c>
      <c r="O19" s="17"/>
      <c r="P19" s="17"/>
      <c r="Q19" s="18">
        <f>+Q12+Q16</f>
        <v>31.468083933171194</v>
      </c>
    </row>
    <row r="20" spans="3:17" x14ac:dyDescent="0.3">
      <c r="C20" s="10"/>
      <c r="D20" s="10"/>
      <c r="E20" s="10"/>
      <c r="F20" s="10"/>
      <c r="G20" s="11"/>
      <c r="H20" s="10"/>
      <c r="I20" s="13"/>
      <c r="J20" s="10"/>
      <c r="K20" s="10"/>
      <c r="L20" s="10"/>
      <c r="M20" s="10"/>
      <c r="N20" s="10"/>
      <c r="O20" s="10"/>
      <c r="P20" s="10"/>
      <c r="Q20" s="10"/>
    </row>
    <row r="21" spans="3:17" x14ac:dyDescent="0.3">
      <c r="C21" s="10"/>
      <c r="D21" s="10"/>
      <c r="E21" s="10"/>
      <c r="F21" s="10"/>
      <c r="G21" s="11"/>
      <c r="H21" s="10"/>
      <c r="I21" s="13"/>
      <c r="J21" s="10"/>
      <c r="K21" s="10"/>
      <c r="L21" s="10"/>
      <c r="M21" s="10"/>
      <c r="N21" s="10"/>
      <c r="O21" s="10"/>
      <c r="P21" s="10"/>
      <c r="Q21" s="10"/>
    </row>
    <row r="22" spans="3:17" x14ac:dyDescent="0.3">
      <c r="C22" s="10"/>
      <c r="D22" s="10"/>
      <c r="E22" s="10"/>
      <c r="F22" s="10"/>
      <c r="G22" s="11"/>
      <c r="H22" s="10"/>
      <c r="I22" s="13"/>
      <c r="J22" s="10"/>
      <c r="K22" s="10"/>
      <c r="L22" s="10"/>
      <c r="M22" s="10"/>
      <c r="N22" s="10"/>
      <c r="O22" s="10"/>
      <c r="P22" s="10"/>
      <c r="Q22" s="10"/>
    </row>
    <row r="23" spans="3:17" x14ac:dyDescent="0.3">
      <c r="C23" s="10"/>
      <c r="D23" s="10"/>
      <c r="E23" s="10"/>
      <c r="F23" s="10"/>
      <c r="G23" s="11"/>
      <c r="H23" s="10"/>
      <c r="I23" s="13"/>
      <c r="J23" s="10"/>
      <c r="K23" s="10"/>
      <c r="L23" s="10"/>
      <c r="M23" s="10"/>
      <c r="N23" s="10"/>
      <c r="O23" s="10"/>
      <c r="P23" s="10"/>
      <c r="Q23" s="10"/>
    </row>
    <row r="24" spans="3:17" x14ac:dyDescent="0.3">
      <c r="C24" s="10"/>
      <c r="D24" s="10"/>
      <c r="E24" s="10"/>
      <c r="F24" s="10"/>
      <c r="G24" s="11"/>
      <c r="H24" s="10"/>
      <c r="I24" s="13"/>
      <c r="J24" s="10"/>
      <c r="K24" s="10"/>
      <c r="L24" s="10"/>
      <c r="M24" s="10"/>
      <c r="N24" s="10"/>
      <c r="O24" s="10"/>
      <c r="P24" s="10"/>
      <c r="Q24" s="10"/>
    </row>
    <row r="25" spans="3:17" x14ac:dyDescent="0.3">
      <c r="C25" s="10"/>
      <c r="D25" s="10"/>
      <c r="E25" s="10"/>
      <c r="F25" s="10"/>
      <c r="G25" s="11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3:17" x14ac:dyDescent="0.3">
      <c r="C26" s="10"/>
      <c r="D26" s="10"/>
      <c r="E26" s="10"/>
      <c r="F26" s="10"/>
      <c r="G26" s="11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3:17" x14ac:dyDescent="0.3">
      <c r="C27" s="10"/>
      <c r="D27" s="10"/>
      <c r="E27" s="10"/>
      <c r="F27" s="10"/>
      <c r="G27" s="11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3:17" x14ac:dyDescent="0.3">
      <c r="F28" t="s">
        <v>1</v>
      </c>
      <c r="G28" t="s">
        <v>2</v>
      </c>
      <c r="I28" s="1" t="s">
        <v>3</v>
      </c>
    </row>
    <row r="29" spans="3:17" x14ac:dyDescent="0.3">
      <c r="G29" t="s">
        <v>4</v>
      </c>
      <c r="I29" s="1" t="s">
        <v>5</v>
      </c>
    </row>
    <row r="30" spans="3:17" x14ac:dyDescent="0.3">
      <c r="M30" t="s">
        <v>49</v>
      </c>
      <c r="N30" t="s">
        <v>48</v>
      </c>
      <c r="O30" t="s">
        <v>47</v>
      </c>
    </row>
    <row r="31" spans="3:17" x14ac:dyDescent="0.3">
      <c r="C31" t="s">
        <v>23</v>
      </c>
      <c r="F31" t="s">
        <v>11</v>
      </c>
      <c r="G31" s="1">
        <v>857</v>
      </c>
      <c r="H31" t="s">
        <v>13</v>
      </c>
    </row>
    <row r="32" spans="3:17" x14ac:dyDescent="0.3">
      <c r="F32" t="s">
        <v>12</v>
      </c>
      <c r="G32" s="8">
        <v>338.7</v>
      </c>
      <c r="H32" t="s">
        <v>14</v>
      </c>
      <c r="I32" t="s">
        <v>44</v>
      </c>
      <c r="K32" s="3">
        <f>+K33/G31</f>
        <v>160.65365197432834</v>
      </c>
      <c r="L32" t="s">
        <v>14</v>
      </c>
      <c r="M32" t="s">
        <v>45</v>
      </c>
      <c r="N32" s="3">
        <f>+K32-G32</f>
        <v>-178.04634802567165</v>
      </c>
      <c r="O32" s="5">
        <f>+N32/G32</f>
        <v>-0.52567566585672176</v>
      </c>
    </row>
    <row r="33" spans="4:15" x14ac:dyDescent="0.3">
      <c r="F33" t="s">
        <v>12</v>
      </c>
      <c r="G33" s="1">
        <f>+G31*G32</f>
        <v>290265.89999999997</v>
      </c>
      <c r="H33" t="s">
        <v>15</v>
      </c>
      <c r="I33" t="s">
        <v>43</v>
      </c>
      <c r="K33" s="73">
        <f>+G33-J12</f>
        <v>137680.1797419994</v>
      </c>
      <c r="L33" s="73"/>
      <c r="M33" t="s">
        <v>15</v>
      </c>
    </row>
    <row r="34" spans="4:15" x14ac:dyDescent="0.3">
      <c r="F34" t="s">
        <v>16</v>
      </c>
      <c r="G34" s="22">
        <v>0.29554200000000003</v>
      </c>
      <c r="H34" t="s">
        <v>17</v>
      </c>
      <c r="I34" t="s">
        <v>52</v>
      </c>
    </row>
    <row r="35" spans="4:15" x14ac:dyDescent="0.3">
      <c r="F35" t="s">
        <v>18</v>
      </c>
      <c r="G35" s="1">
        <f>+G33*G34</f>
        <v>85785.7646178</v>
      </c>
      <c r="H35" t="s">
        <v>19</v>
      </c>
    </row>
    <row r="36" spans="4:15" x14ac:dyDescent="0.3">
      <c r="F36" t="s">
        <v>22</v>
      </c>
      <c r="G36" s="8">
        <v>57.4</v>
      </c>
      <c r="H36" t="s">
        <v>24</v>
      </c>
      <c r="I36" t="s">
        <v>45</v>
      </c>
      <c r="K36" s="3">
        <f>+K37*1000/G31</f>
        <v>27.111687359193464</v>
      </c>
      <c r="L36" t="s">
        <v>24</v>
      </c>
      <c r="M36" t="s">
        <v>45</v>
      </c>
      <c r="N36" s="3">
        <f>+K36-G36</f>
        <v>-30.288312640806534</v>
      </c>
      <c r="O36" s="5">
        <f>+N36/G36</f>
        <v>-0.52767095193042746</v>
      </c>
    </row>
    <row r="37" spans="4:15" x14ac:dyDescent="0.3">
      <c r="F37" t="s">
        <v>22</v>
      </c>
      <c r="G37" s="1">
        <f>+G36*G31/1000</f>
        <v>49.191799999999994</v>
      </c>
      <c r="H37" t="s">
        <v>25</v>
      </c>
      <c r="I37" t="s">
        <v>46</v>
      </c>
      <c r="K37" s="3">
        <f>+G37-Q12</f>
        <v>23.234716066828799</v>
      </c>
      <c r="L37" t="s">
        <v>25</v>
      </c>
    </row>
    <row r="38" spans="4:15" x14ac:dyDescent="0.3">
      <c r="D38" s="1"/>
      <c r="E38" s="1"/>
      <c r="F38" t="s">
        <v>27</v>
      </c>
      <c r="G38" s="1">
        <v>205</v>
      </c>
      <c r="H38" t="s">
        <v>13</v>
      </c>
      <c r="I38" s="4">
        <f>+G38/$G$41</f>
        <v>0.2142110762800418</v>
      </c>
    </row>
    <row r="39" spans="4:15" x14ac:dyDescent="0.3">
      <c r="F39" t="s">
        <v>28</v>
      </c>
      <c r="G39" s="1">
        <v>448</v>
      </c>
      <c r="H39" t="s">
        <v>13</v>
      </c>
      <c r="I39" s="4">
        <f>+G39/$G$41</f>
        <v>0.46812957157784746</v>
      </c>
    </row>
    <row r="40" spans="4:15" x14ac:dyDescent="0.3">
      <c r="F40" t="s">
        <v>29</v>
      </c>
      <c r="G40" s="1">
        <v>304</v>
      </c>
      <c r="H40" t="s">
        <v>13</v>
      </c>
      <c r="I40" s="4">
        <f>+G40/$G$41</f>
        <v>0.31765935214211077</v>
      </c>
    </row>
    <row r="41" spans="4:15" x14ac:dyDescent="0.3">
      <c r="F41" t="s">
        <v>30</v>
      </c>
      <c r="G41" s="1">
        <f>+SUM(G38:G40)</f>
        <v>957</v>
      </c>
      <c r="I41" s="4">
        <f>+G41/$G$41</f>
        <v>1</v>
      </c>
      <c r="J41" t="s">
        <v>34</v>
      </c>
    </row>
    <row r="43" spans="4:15" x14ac:dyDescent="0.3">
      <c r="F43" t="s">
        <v>92</v>
      </c>
      <c r="G43" s="8">
        <v>39.450000000000003</v>
      </c>
      <c r="H43" t="s">
        <v>14</v>
      </c>
      <c r="I43" t="s">
        <v>44</v>
      </c>
      <c r="J43" t="s">
        <v>93</v>
      </c>
    </row>
    <row r="44" spans="4:15" x14ac:dyDescent="0.3">
      <c r="F44" t="s">
        <v>12</v>
      </c>
      <c r="G44" s="1">
        <f>+G31*G43</f>
        <v>33808.65</v>
      </c>
      <c r="H44" t="s">
        <v>15</v>
      </c>
      <c r="J44" t="s">
        <v>94</v>
      </c>
    </row>
    <row r="45" spans="4:15" x14ac:dyDescent="0.3">
      <c r="F45" t="s">
        <v>22</v>
      </c>
      <c r="G45" s="8">
        <v>6.68</v>
      </c>
      <c r="H45" t="s">
        <v>24</v>
      </c>
      <c r="I45" t="s">
        <v>44</v>
      </c>
    </row>
    <row r="46" spans="4:15" x14ac:dyDescent="0.3">
      <c r="F46" t="s">
        <v>22</v>
      </c>
      <c r="G46" s="1">
        <f>+G45*G31/1000</f>
        <v>5.724759999999999</v>
      </c>
      <c r="H46" t="s">
        <v>25</v>
      </c>
    </row>
  </sheetData>
  <mergeCells count="1">
    <mergeCell ref="K33:L33"/>
  </mergeCells>
  <phoneticPr fontId="5" type="noConversion"/>
  <pageMargins left="0.25" right="0.25" top="0.75" bottom="0.75" header="0.3" footer="0.3"/>
  <pageSetup paperSize="9" scale="62" fitToHeight="0" orientation="landscape" r:id="rId1"/>
  <headerFooter>
    <oddHeader>&amp;L&amp;F&amp;R&amp;A</oddHeader>
    <oddFooter>&amp;L&amp;P -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6"/>
  <sheetViews>
    <sheetView topLeftCell="F1" zoomScaleNormal="100" workbookViewId="0">
      <selection activeCell="F27" sqref="F27"/>
    </sheetView>
  </sheetViews>
  <sheetFormatPr baseColWidth="10" defaultRowHeight="14.4" x14ac:dyDescent="0.3"/>
  <cols>
    <col min="3" max="3" width="7.5546875" customWidth="1"/>
    <col min="4" max="4" width="8.88671875" customWidth="1"/>
    <col min="5" max="5" width="12.109375" customWidth="1"/>
    <col min="6" max="6" width="53.109375" customWidth="1"/>
    <col min="7" max="7" width="15.44140625" style="1" customWidth="1"/>
    <col min="8" max="8" width="15.44140625" customWidth="1"/>
    <col min="9" max="9" width="11" customWidth="1"/>
    <col min="10" max="10" width="14.109375" customWidth="1"/>
    <col min="11" max="11" width="11.88671875" customWidth="1"/>
    <col min="12" max="12" width="12.109375" customWidth="1"/>
    <col min="13" max="13" width="15.33203125" customWidth="1"/>
    <col min="14" max="14" width="14" customWidth="1"/>
    <col min="15" max="15" width="13.44140625" customWidth="1"/>
    <col min="16" max="16" width="11" customWidth="1"/>
    <col min="17" max="17" width="13.33203125" customWidth="1"/>
  </cols>
  <sheetData>
    <row r="1" spans="2:17" ht="18" x14ac:dyDescent="0.35">
      <c r="C1" s="35" t="s">
        <v>244</v>
      </c>
    </row>
    <row r="2" spans="2:17" x14ac:dyDescent="0.3">
      <c r="C2" s="6"/>
      <c r="D2" s="6"/>
      <c r="E2" s="6"/>
      <c r="F2" s="6"/>
      <c r="G2" s="7"/>
      <c r="H2" s="6" t="s">
        <v>32</v>
      </c>
      <c r="I2" s="6"/>
      <c r="J2" s="6" t="s">
        <v>31</v>
      </c>
      <c r="K2" s="6"/>
      <c r="L2" s="6"/>
      <c r="M2" s="6" t="s">
        <v>31</v>
      </c>
      <c r="N2" s="6"/>
      <c r="O2" s="6" t="s">
        <v>32</v>
      </c>
      <c r="P2" s="6"/>
      <c r="Q2" s="6" t="s">
        <v>31</v>
      </c>
    </row>
    <row r="3" spans="2:17" s="2" customFormat="1" ht="57.6" x14ac:dyDescent="0.3">
      <c r="C3" s="9" t="s">
        <v>40</v>
      </c>
      <c r="D3" s="9" t="s">
        <v>41</v>
      </c>
      <c r="E3" s="9" t="s">
        <v>53</v>
      </c>
      <c r="F3" s="9" t="s">
        <v>0</v>
      </c>
      <c r="G3" s="9" t="s">
        <v>6</v>
      </c>
      <c r="H3" s="9" t="s">
        <v>7</v>
      </c>
      <c r="I3" s="9" t="s">
        <v>35</v>
      </c>
      <c r="J3" s="9" t="s">
        <v>7</v>
      </c>
      <c r="K3" s="9" t="s">
        <v>33</v>
      </c>
      <c r="L3" s="9" t="s">
        <v>20</v>
      </c>
      <c r="M3" s="9" t="s">
        <v>8</v>
      </c>
      <c r="N3" s="9" t="s">
        <v>9</v>
      </c>
      <c r="O3" s="9" t="s">
        <v>10</v>
      </c>
      <c r="P3" s="9" t="s">
        <v>35</v>
      </c>
      <c r="Q3" s="9" t="s">
        <v>10</v>
      </c>
    </row>
    <row r="4" spans="2:17" x14ac:dyDescent="0.3">
      <c r="B4" s="15">
        <f>+K4</f>
        <v>0.14133451431945679</v>
      </c>
      <c r="C4" s="10" t="s">
        <v>39</v>
      </c>
      <c r="D4" s="10" t="s">
        <v>56</v>
      </c>
      <c r="E4" s="10" t="s">
        <v>54</v>
      </c>
      <c r="F4" s="16" t="s">
        <v>50</v>
      </c>
      <c r="G4" s="11">
        <v>20700</v>
      </c>
      <c r="H4" s="12">
        <f>+(+$G$32-290.83)*$G$31</f>
        <v>41024.590000000004</v>
      </c>
      <c r="I4" s="13">
        <v>1</v>
      </c>
      <c r="J4" s="12">
        <f t="shared" ref="J4:J6" si="0">+H4*I4</f>
        <v>41024.590000000004</v>
      </c>
      <c r="K4" s="13">
        <f t="shared" ref="K4:K6" si="1">+J4/$G$33</f>
        <v>0.14133451431945679</v>
      </c>
      <c r="L4" s="14">
        <f t="shared" ref="L4:L6" si="2">+$G$34</f>
        <v>0.29554200000000003</v>
      </c>
      <c r="M4" s="11">
        <f t="shared" ref="M4:M6" si="3">+J4*L4</f>
        <v>12124.489377780003</v>
      </c>
      <c r="N4" s="12">
        <f t="shared" ref="N4:N6" si="4">+G4/M4</f>
        <v>1.7072883941764958</v>
      </c>
      <c r="O4" s="12">
        <f>+(+$G$36-49.27)*$G$31/1000</f>
        <v>6.9674099999999966</v>
      </c>
      <c r="P4" s="13">
        <f t="shared" ref="P4:P6" si="5">I4</f>
        <v>1</v>
      </c>
      <c r="Q4" s="12">
        <f t="shared" ref="Q4:Q6" si="6">+O4*P4</f>
        <v>6.9674099999999966</v>
      </c>
    </row>
    <row r="5" spans="2:17" x14ac:dyDescent="0.3">
      <c r="B5" s="15">
        <f>+K5+B4</f>
        <v>0.28263524651234256</v>
      </c>
      <c r="C5" s="10" t="s">
        <v>39</v>
      </c>
      <c r="D5" s="10" t="s">
        <v>57</v>
      </c>
      <c r="E5" s="10" t="s">
        <v>54</v>
      </c>
      <c r="F5" s="16" t="s">
        <v>21</v>
      </c>
      <c r="G5" s="11">
        <v>7415</v>
      </c>
      <c r="H5" s="12">
        <f>+(+$G$32-188.04)*$G$31</f>
        <v>129115.62</v>
      </c>
      <c r="I5" s="13">
        <v>0.31765935214211077</v>
      </c>
      <c r="J5" s="12">
        <f t="shared" si="0"/>
        <v>41014.784200626957</v>
      </c>
      <c r="K5" s="13">
        <f t="shared" si="1"/>
        <v>0.14130073219288578</v>
      </c>
      <c r="L5" s="14">
        <f t="shared" si="2"/>
        <v>0.29554200000000003</v>
      </c>
      <c r="M5" s="11">
        <f t="shared" si="3"/>
        <v>12121.591352221692</v>
      </c>
      <c r="N5" s="12">
        <f t="shared" si="4"/>
        <v>0.6117183614378281</v>
      </c>
      <c r="O5" s="12">
        <f>+(+$G$36-31.85)*$G$31/1000</f>
        <v>21.896349999999998</v>
      </c>
      <c r="P5" s="13">
        <f t="shared" si="5"/>
        <v>0.31765935214211077</v>
      </c>
      <c r="Q5" s="12">
        <f t="shared" si="6"/>
        <v>6.9555803552769069</v>
      </c>
    </row>
    <row r="6" spans="2:17" x14ac:dyDescent="0.3">
      <c r="B6" s="15">
        <f t="shared" ref="B6" si="7">+K6+B5</f>
        <v>0.40752452906327263</v>
      </c>
      <c r="C6" s="10" t="s">
        <v>39</v>
      </c>
      <c r="D6" s="10" t="s">
        <v>58</v>
      </c>
      <c r="E6" s="10" t="s">
        <v>54</v>
      </c>
      <c r="F6" s="16" t="s">
        <v>51</v>
      </c>
      <c r="G6" s="11">
        <v>40761.599999999999</v>
      </c>
      <c r="H6" s="12">
        <f>+(+$G$32-296.4)*$G$31</f>
        <v>36251.100000000013</v>
      </c>
      <c r="I6" s="13">
        <v>1</v>
      </c>
      <c r="J6" s="12">
        <f t="shared" si="0"/>
        <v>36251.100000000013</v>
      </c>
      <c r="K6" s="13">
        <f t="shared" si="1"/>
        <v>0.12488928255093008</v>
      </c>
      <c r="L6" s="14">
        <f t="shared" si="2"/>
        <v>0.29554200000000003</v>
      </c>
      <c r="M6" s="11">
        <f t="shared" si="3"/>
        <v>10713.722596200005</v>
      </c>
      <c r="N6" s="12">
        <f t="shared" si="4"/>
        <v>3.8046159618186794</v>
      </c>
      <c r="O6" s="12">
        <f>+(+$G$36-50.21)*$G$31/1000</f>
        <v>6.1618299999999984</v>
      </c>
      <c r="P6" s="13">
        <f t="shared" si="5"/>
        <v>1</v>
      </c>
      <c r="Q6" s="12">
        <f t="shared" si="6"/>
        <v>6.1618299999999984</v>
      </c>
    </row>
    <row r="7" spans="2:17" x14ac:dyDescent="0.3">
      <c r="B7" s="15"/>
      <c r="C7" s="10"/>
      <c r="D7" s="10"/>
      <c r="E7" s="10"/>
      <c r="F7" s="16"/>
      <c r="G7" s="11"/>
      <c r="H7" s="12"/>
      <c r="I7" s="13"/>
      <c r="J7" s="12"/>
      <c r="K7" s="13"/>
      <c r="L7" s="14"/>
      <c r="M7" s="11"/>
      <c r="N7" s="12"/>
      <c r="O7" s="12"/>
      <c r="P7" s="13"/>
      <c r="Q7" s="12"/>
    </row>
    <row r="8" spans="2:17" x14ac:dyDescent="0.3">
      <c r="B8" s="15"/>
      <c r="C8" s="10"/>
      <c r="D8" s="10"/>
      <c r="E8" s="10"/>
      <c r="F8" s="16"/>
      <c r="G8" s="11"/>
      <c r="H8" s="12"/>
      <c r="I8" s="13"/>
      <c r="J8" s="12"/>
      <c r="K8" s="13"/>
      <c r="L8" s="14"/>
      <c r="M8" s="11"/>
      <c r="N8" s="12"/>
      <c r="O8" s="12"/>
      <c r="P8" s="13"/>
      <c r="Q8" s="12"/>
    </row>
    <row r="9" spans="2:17" x14ac:dyDescent="0.3">
      <c r="B9" s="15"/>
      <c r="C9" s="10"/>
      <c r="D9" s="10"/>
      <c r="E9" s="10"/>
      <c r="F9" s="16"/>
      <c r="G9" s="11"/>
      <c r="H9" s="12"/>
      <c r="I9" s="13"/>
      <c r="J9" s="12"/>
      <c r="K9" s="13"/>
      <c r="L9" s="14"/>
      <c r="M9" s="11"/>
      <c r="N9" s="12"/>
      <c r="O9" s="12"/>
      <c r="P9" s="13"/>
      <c r="Q9" s="12"/>
    </row>
    <row r="10" spans="2:17" x14ac:dyDescent="0.3">
      <c r="B10" s="15"/>
      <c r="C10" s="10"/>
      <c r="D10" s="10"/>
      <c r="E10" s="10"/>
      <c r="F10" s="16"/>
      <c r="G10" s="11"/>
      <c r="H10" s="12"/>
      <c r="I10" s="13"/>
      <c r="J10" s="12"/>
      <c r="K10" s="13"/>
      <c r="L10" s="14"/>
      <c r="M10" s="11"/>
      <c r="N10" s="12"/>
      <c r="O10" s="12"/>
      <c r="P10" s="13"/>
      <c r="Q10" s="12"/>
    </row>
    <row r="11" spans="2:17" x14ac:dyDescent="0.3">
      <c r="C11" s="10"/>
      <c r="D11" s="10"/>
      <c r="E11" s="10"/>
      <c r="F11" s="10"/>
      <c r="G11" s="11"/>
      <c r="H11" s="10"/>
      <c r="I11" s="13"/>
      <c r="J11" s="10"/>
      <c r="K11" s="10"/>
      <c r="L11" s="10"/>
      <c r="M11" s="10"/>
      <c r="N11" s="10"/>
      <c r="O11" s="10"/>
      <c r="P11" s="10"/>
      <c r="Q11" s="10"/>
    </row>
    <row r="12" spans="2:17" x14ac:dyDescent="0.3">
      <c r="C12" s="48"/>
      <c r="D12" s="48"/>
      <c r="E12" s="48"/>
      <c r="F12" s="48" t="s">
        <v>55</v>
      </c>
      <c r="G12" s="49">
        <f>SUM(G4:G11)</f>
        <v>68876.600000000006</v>
      </c>
      <c r="H12" s="49">
        <f>SUM(H4:H11)</f>
        <v>206391.31</v>
      </c>
      <c r="I12" s="50">
        <f>+J12/H12</f>
        <v>0.57313689321816397</v>
      </c>
      <c r="J12" s="49">
        <f>SUM(J4:J10)</f>
        <v>118290.47420062698</v>
      </c>
      <c r="K12" s="50">
        <f>SUM(K4:K11)</f>
        <v>0.40752452906327263</v>
      </c>
      <c r="L12" s="48"/>
      <c r="M12" s="49">
        <f>SUM(M4:M11)</f>
        <v>34959.803326201698</v>
      </c>
      <c r="N12" s="51">
        <f>+G12/M12</f>
        <v>1.9701655457649077</v>
      </c>
      <c r="O12" s="48"/>
      <c r="P12" s="48"/>
      <c r="Q12" s="49">
        <f>SUM(Q4:Q11)</f>
        <v>20.084820355276904</v>
      </c>
    </row>
    <row r="13" spans="2:17" x14ac:dyDescent="0.3">
      <c r="B13" s="15"/>
      <c r="C13" s="10"/>
      <c r="D13" s="10"/>
      <c r="E13" s="10"/>
      <c r="F13" s="16"/>
      <c r="G13" s="11"/>
      <c r="H13" s="12"/>
      <c r="I13" s="13"/>
      <c r="J13" s="12"/>
      <c r="K13" s="13"/>
      <c r="L13" s="14"/>
      <c r="M13" s="11"/>
      <c r="N13" s="12"/>
      <c r="O13" s="12"/>
      <c r="P13" s="13"/>
      <c r="Q13" s="12"/>
    </row>
    <row r="14" spans="2:17" x14ac:dyDescent="0.3">
      <c r="B14" s="15"/>
      <c r="C14" s="10"/>
      <c r="D14" s="10"/>
      <c r="E14" s="10"/>
      <c r="F14" s="16"/>
      <c r="G14" s="11"/>
      <c r="H14" s="12"/>
      <c r="I14" s="13"/>
      <c r="J14" s="12"/>
      <c r="K14" s="13"/>
      <c r="L14" s="14"/>
      <c r="M14" s="11"/>
      <c r="N14" s="12"/>
      <c r="O14" s="12"/>
      <c r="P14" s="13"/>
      <c r="Q14" s="12"/>
    </row>
    <row r="15" spans="2:17" x14ac:dyDescent="0.3">
      <c r="C15" s="10"/>
      <c r="D15" s="10"/>
      <c r="E15" s="10"/>
      <c r="F15" s="10"/>
      <c r="G15" s="11"/>
      <c r="H15" s="10"/>
      <c r="I15" s="13"/>
      <c r="J15" s="10"/>
      <c r="K15" s="10"/>
      <c r="L15" s="10"/>
      <c r="M15" s="10"/>
      <c r="N15" s="10"/>
      <c r="O15" s="10"/>
      <c r="P15" s="10"/>
      <c r="Q15" s="10"/>
    </row>
    <row r="16" spans="2:17" x14ac:dyDescent="0.3">
      <c r="C16" s="48"/>
      <c r="D16" s="48"/>
      <c r="E16" s="48"/>
      <c r="F16" s="48" t="s">
        <v>63</v>
      </c>
      <c r="G16" s="49">
        <f>SUM(G13:G15)</f>
        <v>0</v>
      </c>
      <c r="H16" s="49">
        <f>SUM(H13:H15)</f>
        <v>0</v>
      </c>
      <c r="I16" s="50" t="e">
        <f>+J16/H16</f>
        <v>#DIV/0!</v>
      </c>
      <c r="J16" s="49">
        <f>SUM(J13:J14)</f>
        <v>0</v>
      </c>
      <c r="K16" s="50">
        <f>SUM(K13:K15)</f>
        <v>0</v>
      </c>
      <c r="L16" s="48"/>
      <c r="M16" s="49">
        <f>SUM(M13:M15)</f>
        <v>0</v>
      </c>
      <c r="N16" s="51" t="e">
        <f>+G16/M16</f>
        <v>#DIV/0!</v>
      </c>
      <c r="O16" s="48"/>
      <c r="P16" s="48"/>
      <c r="Q16" s="49">
        <f>SUM(Q13:Q15)</f>
        <v>0</v>
      </c>
    </row>
    <row r="17" spans="3:17" x14ac:dyDescent="0.3">
      <c r="C17" s="10"/>
      <c r="D17" s="10"/>
      <c r="E17" s="10"/>
      <c r="F17" s="10"/>
      <c r="G17" s="11"/>
      <c r="H17" s="10"/>
      <c r="I17" s="13"/>
      <c r="J17" s="10"/>
      <c r="K17" s="10"/>
      <c r="L17" s="10"/>
      <c r="M17" s="10"/>
      <c r="N17" s="10"/>
      <c r="O17" s="10"/>
      <c r="P17" s="10"/>
      <c r="Q17" s="10"/>
    </row>
    <row r="18" spans="3:17" s="2" customFormat="1" ht="57.6" x14ac:dyDescent="0.3">
      <c r="C18" s="10"/>
      <c r="D18" s="10"/>
      <c r="E18" s="10"/>
      <c r="F18" s="9" t="s">
        <v>0</v>
      </c>
      <c r="G18" s="9" t="s">
        <v>6</v>
      </c>
      <c r="H18" s="9" t="s">
        <v>7</v>
      </c>
      <c r="I18" s="9" t="s">
        <v>35</v>
      </c>
      <c r="J18" s="9" t="s">
        <v>7</v>
      </c>
      <c r="K18" s="9" t="s">
        <v>33</v>
      </c>
      <c r="L18" s="9" t="s">
        <v>20</v>
      </c>
      <c r="M18" s="9" t="s">
        <v>8</v>
      </c>
      <c r="N18" s="9" t="s">
        <v>9</v>
      </c>
      <c r="O18" s="9" t="s">
        <v>10</v>
      </c>
      <c r="P18" s="9" t="s">
        <v>35</v>
      </c>
      <c r="Q18" s="9" t="s">
        <v>10</v>
      </c>
    </row>
    <row r="19" spans="3:17" x14ac:dyDescent="0.3">
      <c r="C19" s="10"/>
      <c r="D19" s="10"/>
      <c r="E19" s="10"/>
      <c r="F19" s="17" t="s">
        <v>97</v>
      </c>
      <c r="G19" s="18">
        <f>+G12+G16</f>
        <v>68876.600000000006</v>
      </c>
      <c r="H19" s="18">
        <f>+H12+H16</f>
        <v>206391.31</v>
      </c>
      <c r="I19" s="19">
        <f>+J19/H19</f>
        <v>0.57313689321816397</v>
      </c>
      <c r="J19" s="18">
        <f>+J12+J16</f>
        <v>118290.47420062698</v>
      </c>
      <c r="K19" s="19">
        <f>+K16+K12</f>
        <v>0.40752452906327263</v>
      </c>
      <c r="L19" s="17"/>
      <c r="M19" s="18">
        <f>+M12+M16</f>
        <v>34959.803326201698</v>
      </c>
      <c r="N19" s="20">
        <f>+G19/M19</f>
        <v>1.9701655457649077</v>
      </c>
      <c r="O19" s="17"/>
      <c r="P19" s="17"/>
      <c r="Q19" s="18">
        <f>+Q12+Q16</f>
        <v>20.084820355276904</v>
      </c>
    </row>
    <row r="20" spans="3:17" x14ac:dyDescent="0.3">
      <c r="C20" s="10"/>
      <c r="D20" s="10"/>
      <c r="E20" s="10"/>
      <c r="F20" s="10"/>
      <c r="G20" s="11"/>
      <c r="H20" s="10"/>
      <c r="I20" s="13"/>
      <c r="J20" s="10"/>
      <c r="K20" s="10"/>
      <c r="L20" s="10"/>
      <c r="M20" s="10"/>
      <c r="N20" s="10"/>
      <c r="O20" s="10"/>
      <c r="P20" s="10"/>
      <c r="Q20" s="10"/>
    </row>
    <row r="21" spans="3:17" x14ac:dyDescent="0.3">
      <c r="C21" s="10"/>
      <c r="D21" s="10"/>
      <c r="E21" s="10"/>
      <c r="F21" s="10"/>
      <c r="G21" s="11"/>
      <c r="H21" s="10"/>
      <c r="I21" s="13"/>
      <c r="J21" s="10"/>
      <c r="K21" s="10"/>
      <c r="L21" s="10"/>
      <c r="M21" s="10"/>
      <c r="N21" s="10"/>
      <c r="O21" s="10"/>
      <c r="P21" s="10"/>
      <c r="Q21" s="10"/>
    </row>
    <row r="22" spans="3:17" x14ac:dyDescent="0.3">
      <c r="C22" s="10"/>
      <c r="D22" s="10"/>
      <c r="E22" s="10"/>
      <c r="F22" s="10"/>
      <c r="G22" s="11"/>
      <c r="H22" s="10"/>
      <c r="I22" s="13"/>
      <c r="J22" s="10"/>
      <c r="K22" s="10"/>
      <c r="L22" s="10"/>
      <c r="M22" s="10"/>
      <c r="N22" s="10"/>
      <c r="O22" s="10"/>
      <c r="P22" s="10"/>
      <c r="Q22" s="10"/>
    </row>
    <row r="23" spans="3:17" x14ac:dyDescent="0.3">
      <c r="C23" s="10"/>
      <c r="D23" s="10"/>
      <c r="E23" s="10"/>
      <c r="F23" s="10"/>
      <c r="G23" s="11"/>
      <c r="H23" s="10"/>
      <c r="I23" s="13"/>
      <c r="J23" s="10"/>
      <c r="K23" s="10"/>
      <c r="L23" s="10"/>
      <c r="M23" s="10"/>
      <c r="N23" s="10"/>
      <c r="O23" s="10"/>
      <c r="P23" s="10"/>
      <c r="Q23" s="10"/>
    </row>
    <row r="24" spans="3:17" x14ac:dyDescent="0.3">
      <c r="C24" s="10"/>
      <c r="D24" s="10"/>
      <c r="E24" s="10"/>
      <c r="F24" s="10"/>
      <c r="G24" s="11"/>
      <c r="H24" s="10"/>
      <c r="I24" s="13"/>
      <c r="J24" s="10"/>
      <c r="K24" s="10"/>
      <c r="L24" s="10"/>
      <c r="M24" s="10"/>
      <c r="N24" s="10"/>
      <c r="O24" s="10"/>
      <c r="P24" s="10"/>
      <c r="Q24" s="10"/>
    </row>
    <row r="25" spans="3:17" x14ac:dyDescent="0.3">
      <c r="C25" s="10"/>
      <c r="D25" s="10"/>
      <c r="E25" s="10"/>
      <c r="F25" s="10"/>
      <c r="G25" s="11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3:17" x14ac:dyDescent="0.3">
      <c r="C26" s="10"/>
      <c r="D26" s="10"/>
      <c r="E26" s="10"/>
      <c r="F26" s="10"/>
      <c r="G26" s="11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3:17" x14ac:dyDescent="0.3">
      <c r="C27" s="10"/>
      <c r="D27" s="10"/>
      <c r="E27" s="10"/>
      <c r="F27" s="10"/>
      <c r="G27" s="11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3:17" x14ac:dyDescent="0.3">
      <c r="F28" t="s">
        <v>1</v>
      </c>
      <c r="G28" t="s">
        <v>2</v>
      </c>
      <c r="I28" s="1" t="s">
        <v>3</v>
      </c>
    </row>
    <row r="29" spans="3:17" x14ac:dyDescent="0.3">
      <c r="G29" t="s">
        <v>4</v>
      </c>
      <c r="I29" s="1" t="s">
        <v>5</v>
      </c>
    </row>
    <row r="30" spans="3:17" x14ac:dyDescent="0.3">
      <c r="M30" t="s">
        <v>49</v>
      </c>
      <c r="N30" t="s">
        <v>48</v>
      </c>
      <c r="O30" t="s">
        <v>47</v>
      </c>
    </row>
    <row r="31" spans="3:17" x14ac:dyDescent="0.3">
      <c r="C31" t="s">
        <v>23</v>
      </c>
      <c r="F31" t="s">
        <v>11</v>
      </c>
      <c r="G31" s="1">
        <v>857</v>
      </c>
      <c r="H31" t="s">
        <v>13</v>
      </c>
    </row>
    <row r="32" spans="3:17" x14ac:dyDescent="0.3">
      <c r="F32" t="s">
        <v>12</v>
      </c>
      <c r="G32" s="8">
        <v>338.7</v>
      </c>
      <c r="H32" t="s">
        <v>14</v>
      </c>
      <c r="I32" t="s">
        <v>44</v>
      </c>
      <c r="K32" s="3">
        <f>+K33/G31</f>
        <v>200.67144200626953</v>
      </c>
      <c r="L32" t="s">
        <v>14</v>
      </c>
      <c r="M32" t="s">
        <v>45</v>
      </c>
      <c r="N32" s="3">
        <f>+K32-G32</f>
        <v>-138.02855799373046</v>
      </c>
      <c r="O32" s="5">
        <f>+N32/G32</f>
        <v>-0.40752452906327269</v>
      </c>
    </row>
    <row r="33" spans="4:15" x14ac:dyDescent="0.3">
      <c r="F33" t="s">
        <v>12</v>
      </c>
      <c r="G33" s="1">
        <f>+G31*G32</f>
        <v>290265.89999999997</v>
      </c>
      <c r="H33" t="s">
        <v>15</v>
      </c>
      <c r="I33" t="s">
        <v>43</v>
      </c>
      <c r="K33" s="73">
        <f>+G33-J12</f>
        <v>171975.42579937298</v>
      </c>
      <c r="L33" s="73"/>
      <c r="M33" t="s">
        <v>15</v>
      </c>
    </row>
    <row r="34" spans="4:15" x14ac:dyDescent="0.3">
      <c r="F34" t="s">
        <v>16</v>
      </c>
      <c r="G34" s="22">
        <v>0.29554200000000003</v>
      </c>
      <c r="H34" t="s">
        <v>17</v>
      </c>
      <c r="I34" t="s">
        <v>52</v>
      </c>
    </row>
    <row r="35" spans="4:15" x14ac:dyDescent="0.3">
      <c r="F35" t="s">
        <v>18</v>
      </c>
      <c r="G35" s="1">
        <f>+G33*G34</f>
        <v>85785.7646178</v>
      </c>
      <c r="H35" t="s">
        <v>19</v>
      </c>
    </row>
    <row r="36" spans="4:15" x14ac:dyDescent="0.3">
      <c r="F36" t="s">
        <v>22</v>
      </c>
      <c r="G36" s="8">
        <v>57.4</v>
      </c>
      <c r="H36" t="s">
        <v>24</v>
      </c>
      <c r="I36" t="s">
        <v>45</v>
      </c>
      <c r="K36" s="3">
        <f>+K37*1000/G31</f>
        <v>33.963803552769065</v>
      </c>
      <c r="L36" t="s">
        <v>24</v>
      </c>
      <c r="M36" t="s">
        <v>45</v>
      </c>
      <c r="N36" s="3">
        <f>+K36-G36</f>
        <v>-23.436196447230934</v>
      </c>
      <c r="O36" s="5">
        <f>+N36/G36</f>
        <v>-0.40829610535245531</v>
      </c>
    </row>
    <row r="37" spans="4:15" x14ac:dyDescent="0.3">
      <c r="F37" t="s">
        <v>22</v>
      </c>
      <c r="G37" s="1">
        <f>+G36*G31/1000</f>
        <v>49.191799999999994</v>
      </c>
      <c r="H37" t="s">
        <v>25</v>
      </c>
      <c r="I37" t="s">
        <v>46</v>
      </c>
      <c r="K37" s="3">
        <f>+G37-Q12</f>
        <v>29.10697964472309</v>
      </c>
      <c r="L37" t="s">
        <v>25</v>
      </c>
    </row>
    <row r="38" spans="4:15" x14ac:dyDescent="0.3">
      <c r="D38" s="1"/>
      <c r="E38" s="1"/>
      <c r="F38" t="s">
        <v>27</v>
      </c>
      <c r="G38" s="1">
        <v>205</v>
      </c>
      <c r="H38" t="s">
        <v>13</v>
      </c>
      <c r="I38" s="4">
        <f>+G38/$G$41</f>
        <v>0.2142110762800418</v>
      </c>
    </row>
    <row r="39" spans="4:15" x14ac:dyDescent="0.3">
      <c r="F39" t="s">
        <v>28</v>
      </c>
      <c r="G39" s="1">
        <v>448</v>
      </c>
      <c r="H39" t="s">
        <v>13</v>
      </c>
      <c r="I39" s="4">
        <f>+G39/$G$41</f>
        <v>0.46812957157784746</v>
      </c>
    </row>
    <row r="40" spans="4:15" x14ac:dyDescent="0.3">
      <c r="F40" t="s">
        <v>29</v>
      </c>
      <c r="G40" s="1">
        <v>304</v>
      </c>
      <c r="H40" t="s">
        <v>13</v>
      </c>
      <c r="I40" s="4">
        <f>+G40/$G$41</f>
        <v>0.31765935214211077</v>
      </c>
    </row>
    <row r="41" spans="4:15" x14ac:dyDescent="0.3">
      <c r="F41" t="s">
        <v>30</v>
      </c>
      <c r="G41" s="1">
        <f>+SUM(G38:G40)</f>
        <v>957</v>
      </c>
      <c r="I41" s="4">
        <f>+G41/$G$41</f>
        <v>1</v>
      </c>
      <c r="J41" t="s">
        <v>34</v>
      </c>
    </row>
    <row r="43" spans="4:15" x14ac:dyDescent="0.3">
      <c r="F43" t="s">
        <v>92</v>
      </c>
      <c r="G43" s="8">
        <v>39.450000000000003</v>
      </c>
      <c r="H43" t="s">
        <v>14</v>
      </c>
      <c r="I43" t="s">
        <v>44</v>
      </c>
      <c r="J43" t="s">
        <v>93</v>
      </c>
    </row>
    <row r="44" spans="4:15" x14ac:dyDescent="0.3">
      <c r="F44" t="s">
        <v>12</v>
      </c>
      <c r="G44" s="1">
        <f>+G31*G43</f>
        <v>33808.65</v>
      </c>
      <c r="H44" t="s">
        <v>15</v>
      </c>
      <c r="J44" t="s">
        <v>94</v>
      </c>
    </row>
    <row r="45" spans="4:15" x14ac:dyDescent="0.3">
      <c r="F45" t="s">
        <v>22</v>
      </c>
      <c r="G45" s="8">
        <v>6.68</v>
      </c>
      <c r="H45" t="s">
        <v>24</v>
      </c>
      <c r="I45" t="s">
        <v>44</v>
      </c>
    </row>
    <row r="46" spans="4:15" x14ac:dyDescent="0.3">
      <c r="F46" t="s">
        <v>22</v>
      </c>
      <c r="G46" s="1">
        <f>+G45*G31/1000</f>
        <v>5.724759999999999</v>
      </c>
      <c r="H46" t="s">
        <v>25</v>
      </c>
    </row>
  </sheetData>
  <mergeCells count="1">
    <mergeCell ref="K33:L33"/>
  </mergeCells>
  <pageMargins left="0.25" right="0.25" top="0.75" bottom="0.75" header="0.3" footer="0.3"/>
  <pageSetup paperSize="9" scale="62" fitToHeight="0" orientation="landscape" r:id="rId1"/>
  <headerFooter>
    <oddHeader>&amp;L&amp;F&amp;R&amp;A</oddHeader>
    <oddFooter>&amp;L&amp;P -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Normal="100" workbookViewId="0">
      <pane xSplit="4" ySplit="3" topLeftCell="E52" activePane="bottomRight" state="frozen"/>
      <selection pane="topRight" activeCell="E1" sqref="E1"/>
      <selection pane="bottomLeft" activeCell="A4" sqref="A4"/>
      <selection pane="bottomRight" activeCell="D24" sqref="D24"/>
    </sheetView>
  </sheetViews>
  <sheetFormatPr baseColWidth="10" defaultRowHeight="14.4" x14ac:dyDescent="0.3"/>
  <cols>
    <col min="4" max="4" width="62.109375" bestFit="1" customWidth="1"/>
    <col min="5" max="5" width="10.109375" bestFit="1" customWidth="1"/>
    <col min="6" max="7" width="10.109375" style="63" bestFit="1" customWidth="1"/>
    <col min="8" max="8" width="11.5546875" style="63"/>
  </cols>
  <sheetData>
    <row r="1" spans="1:7" x14ac:dyDescent="0.3">
      <c r="A1" s="36" t="s">
        <v>245</v>
      </c>
      <c r="B1" s="37"/>
      <c r="C1" s="37"/>
      <c r="D1" s="37"/>
      <c r="E1" s="37"/>
      <c r="F1" s="65"/>
      <c r="G1" s="65"/>
    </row>
    <row r="2" spans="1:7" ht="18" x14ac:dyDescent="0.35">
      <c r="A2" s="38" t="s">
        <v>98</v>
      </c>
      <c r="B2" s="39"/>
      <c r="C2" s="39"/>
      <c r="D2" s="39"/>
      <c r="E2" s="39"/>
      <c r="F2" s="66"/>
      <c r="G2" s="66"/>
    </row>
    <row r="3" spans="1:7" x14ac:dyDescent="0.3">
      <c r="A3" s="9" t="s">
        <v>99</v>
      </c>
      <c r="B3" s="9" t="s">
        <v>100</v>
      </c>
      <c r="C3" s="9" t="s">
        <v>101</v>
      </c>
      <c r="D3" s="9" t="s">
        <v>102</v>
      </c>
      <c r="E3" s="9" t="s">
        <v>103</v>
      </c>
      <c r="F3" s="9" t="s">
        <v>104</v>
      </c>
      <c r="G3" s="9" t="s">
        <v>105</v>
      </c>
    </row>
    <row r="4" spans="1:7" x14ac:dyDescent="0.3">
      <c r="A4" s="46" t="s">
        <v>106</v>
      </c>
      <c r="B4" s="46" t="s">
        <v>107</v>
      </c>
      <c r="C4" s="46" t="s">
        <v>108</v>
      </c>
      <c r="D4" s="46" t="s">
        <v>109</v>
      </c>
      <c r="E4" s="47">
        <f>E12</f>
        <v>1</v>
      </c>
      <c r="F4" s="62">
        <f>F12</f>
        <v>113321.5</v>
      </c>
      <c r="G4" s="62">
        <f>G12</f>
        <v>113321.5</v>
      </c>
    </row>
    <row r="5" spans="1:7" x14ac:dyDescent="0.3">
      <c r="A5" s="70" t="s">
        <v>110</v>
      </c>
      <c r="B5" s="70" t="s">
        <v>111</v>
      </c>
      <c r="C5" s="70" t="s">
        <v>112</v>
      </c>
      <c r="D5" s="70" t="s">
        <v>113</v>
      </c>
      <c r="E5" s="71">
        <v>1</v>
      </c>
      <c r="F5" s="72">
        <v>20700</v>
      </c>
      <c r="G5" s="72">
        <f t="shared" ref="G5:G11" si="0">ROUND(E5*F5,2)</f>
        <v>20700</v>
      </c>
    </row>
    <row r="6" spans="1:7" x14ac:dyDescent="0.3">
      <c r="A6" s="67" t="s">
        <v>114</v>
      </c>
      <c r="B6" s="67" t="s">
        <v>111</v>
      </c>
      <c r="C6" s="67" t="s">
        <v>13</v>
      </c>
      <c r="D6" s="67" t="s">
        <v>21</v>
      </c>
      <c r="E6" s="68">
        <v>296.60000000000002</v>
      </c>
      <c r="F6" s="69">
        <v>25</v>
      </c>
      <c r="G6" s="69">
        <f t="shared" si="0"/>
        <v>7415</v>
      </c>
    </row>
    <row r="7" spans="1:7" x14ac:dyDescent="0.3">
      <c r="A7" s="67" t="s">
        <v>115</v>
      </c>
      <c r="B7" s="67" t="s">
        <v>111</v>
      </c>
      <c r="C7" s="67" t="s">
        <v>13</v>
      </c>
      <c r="D7" s="67" t="s">
        <v>116</v>
      </c>
      <c r="E7" s="68">
        <v>815.23</v>
      </c>
      <c r="F7" s="69">
        <v>50</v>
      </c>
      <c r="G7" s="69">
        <f t="shared" si="0"/>
        <v>40761.5</v>
      </c>
    </row>
    <row r="8" spans="1:7" x14ac:dyDescent="0.3">
      <c r="A8" s="67" t="s">
        <v>117</v>
      </c>
      <c r="B8" s="67" t="s">
        <v>111</v>
      </c>
      <c r="C8" s="67" t="s">
        <v>101</v>
      </c>
      <c r="D8" s="67" t="s">
        <v>37</v>
      </c>
      <c r="E8" s="68">
        <v>1</v>
      </c>
      <c r="F8" s="69">
        <v>14520</v>
      </c>
      <c r="G8" s="69">
        <f t="shared" si="0"/>
        <v>14520</v>
      </c>
    </row>
    <row r="9" spans="1:7" x14ac:dyDescent="0.3">
      <c r="A9" s="67" t="s">
        <v>118</v>
      </c>
      <c r="B9" s="67" t="s">
        <v>111</v>
      </c>
      <c r="C9" s="67" t="s">
        <v>112</v>
      </c>
      <c r="D9" s="67" t="s">
        <v>36</v>
      </c>
      <c r="E9" s="68">
        <v>60</v>
      </c>
      <c r="F9" s="69">
        <v>150</v>
      </c>
      <c r="G9" s="69">
        <f t="shared" si="0"/>
        <v>9000</v>
      </c>
    </row>
    <row r="10" spans="1:7" x14ac:dyDescent="0.3">
      <c r="A10" s="67" t="s">
        <v>119</v>
      </c>
      <c r="B10" s="67" t="s">
        <v>111</v>
      </c>
      <c r="C10" s="67" t="s">
        <v>101</v>
      </c>
      <c r="D10" s="67" t="s">
        <v>38</v>
      </c>
      <c r="E10" s="68">
        <v>60</v>
      </c>
      <c r="F10" s="69">
        <v>225</v>
      </c>
      <c r="G10" s="69">
        <f t="shared" si="0"/>
        <v>13500</v>
      </c>
    </row>
    <row r="11" spans="1:7" x14ac:dyDescent="0.3">
      <c r="A11" s="67" t="s">
        <v>120</v>
      </c>
      <c r="B11" s="67" t="s">
        <v>111</v>
      </c>
      <c r="C11" s="67" t="s">
        <v>13</v>
      </c>
      <c r="D11" s="67" t="s">
        <v>26</v>
      </c>
      <c r="E11" s="68">
        <v>135</v>
      </c>
      <c r="F11" s="69">
        <v>55</v>
      </c>
      <c r="G11" s="69">
        <f t="shared" si="0"/>
        <v>7425</v>
      </c>
    </row>
    <row r="12" spans="1:7" x14ac:dyDescent="0.3">
      <c r="A12" s="42"/>
      <c r="B12" s="42"/>
      <c r="C12" s="42"/>
      <c r="D12" s="40" t="s">
        <v>121</v>
      </c>
      <c r="E12" s="41">
        <v>1</v>
      </c>
      <c r="F12" s="61">
        <f>SUM(G5:G11)</f>
        <v>113321.5</v>
      </c>
      <c r="G12" s="61">
        <f>ROUND(F12*E12,2)</f>
        <v>113321.5</v>
      </c>
    </row>
    <row r="13" spans="1:7" x14ac:dyDescent="0.3">
      <c r="A13" s="43"/>
      <c r="B13" s="43"/>
      <c r="C13" s="43"/>
      <c r="D13" s="43"/>
    </row>
    <row r="14" spans="1:7" x14ac:dyDescent="0.3">
      <c r="A14" s="46" t="s">
        <v>122</v>
      </c>
      <c r="B14" s="46" t="s">
        <v>107</v>
      </c>
      <c r="C14" s="46" t="s">
        <v>108</v>
      </c>
      <c r="D14" s="46" t="s">
        <v>123</v>
      </c>
      <c r="E14" s="47">
        <f>E17</f>
        <v>1</v>
      </c>
      <c r="F14" s="62">
        <f>F17</f>
        <v>13151.52</v>
      </c>
      <c r="G14" s="62">
        <f>G17</f>
        <v>13151.52</v>
      </c>
    </row>
    <row r="15" spans="1:7" x14ac:dyDescent="0.3">
      <c r="A15" s="67" t="s">
        <v>124</v>
      </c>
      <c r="B15" s="67" t="s">
        <v>111</v>
      </c>
      <c r="C15" s="67" t="s">
        <v>112</v>
      </c>
      <c r="D15" s="67" t="s">
        <v>125</v>
      </c>
      <c r="E15" s="68">
        <v>11</v>
      </c>
      <c r="F15" s="69">
        <v>261</v>
      </c>
      <c r="G15" s="69">
        <f>ROUND(E15*F15,2)</f>
        <v>2871</v>
      </c>
    </row>
    <row r="16" spans="1:7" x14ac:dyDescent="0.3">
      <c r="A16" s="67" t="s">
        <v>126</v>
      </c>
      <c r="B16" s="67" t="s">
        <v>111</v>
      </c>
      <c r="C16" s="67" t="s">
        <v>112</v>
      </c>
      <c r="D16" s="67" t="s">
        <v>127</v>
      </c>
      <c r="E16" s="68">
        <v>57</v>
      </c>
      <c r="F16" s="69">
        <v>180.36</v>
      </c>
      <c r="G16" s="69">
        <f>ROUND(E16*F16,2)</f>
        <v>10280.52</v>
      </c>
    </row>
    <row r="17" spans="1:7" x14ac:dyDescent="0.3">
      <c r="A17" s="42"/>
      <c r="B17" s="42"/>
      <c r="C17" s="42"/>
      <c r="D17" s="40" t="s">
        <v>128</v>
      </c>
      <c r="E17" s="41">
        <v>1</v>
      </c>
      <c r="F17" s="61">
        <f>SUM(G15:G16)</f>
        <v>13151.52</v>
      </c>
      <c r="G17" s="61">
        <f>ROUND(F17*E17,2)</f>
        <v>13151.52</v>
      </c>
    </row>
    <row r="18" spans="1:7" x14ac:dyDescent="0.3">
      <c r="A18" s="43"/>
      <c r="B18" s="43"/>
      <c r="C18" s="43"/>
      <c r="D18" s="43"/>
    </row>
    <row r="19" spans="1:7" x14ac:dyDescent="0.3">
      <c r="A19" s="46" t="s">
        <v>129</v>
      </c>
      <c r="B19" s="46" t="s">
        <v>107</v>
      </c>
      <c r="C19" s="46" t="s">
        <v>108</v>
      </c>
      <c r="D19" s="46" t="s">
        <v>130</v>
      </c>
      <c r="E19" s="47">
        <f>E29</f>
        <v>1</v>
      </c>
      <c r="F19" s="62">
        <f>F29</f>
        <v>38560</v>
      </c>
      <c r="G19" s="62">
        <f>G29</f>
        <v>38560</v>
      </c>
    </row>
    <row r="20" spans="1:7" x14ac:dyDescent="0.3">
      <c r="A20" s="67" t="s">
        <v>131</v>
      </c>
      <c r="B20" s="67" t="s">
        <v>111</v>
      </c>
      <c r="C20" s="67" t="s">
        <v>132</v>
      </c>
      <c r="D20" s="67" t="s">
        <v>133</v>
      </c>
      <c r="E20" s="68">
        <v>1</v>
      </c>
      <c r="F20" s="69">
        <v>360</v>
      </c>
      <c r="G20" s="69">
        <f t="shared" ref="G20:G28" si="1">ROUND(E20*F20,2)</f>
        <v>360</v>
      </c>
    </row>
    <row r="21" spans="1:7" x14ac:dyDescent="0.3">
      <c r="A21" s="67" t="s">
        <v>134</v>
      </c>
      <c r="B21" s="67" t="s">
        <v>111</v>
      </c>
      <c r="C21" s="67" t="s">
        <v>112</v>
      </c>
      <c r="D21" s="67" t="s">
        <v>135</v>
      </c>
      <c r="E21" s="68">
        <v>5</v>
      </c>
      <c r="F21" s="69">
        <v>100</v>
      </c>
      <c r="G21" s="69">
        <f t="shared" si="1"/>
        <v>500</v>
      </c>
    </row>
    <row r="22" spans="1:7" x14ac:dyDescent="0.3">
      <c r="A22" s="67" t="s">
        <v>136</v>
      </c>
      <c r="B22" s="67" t="s">
        <v>111</v>
      </c>
      <c r="C22" s="67" t="s">
        <v>112</v>
      </c>
      <c r="D22" s="67" t="s">
        <v>137</v>
      </c>
      <c r="E22" s="68">
        <v>10</v>
      </c>
      <c r="F22" s="69">
        <v>80</v>
      </c>
      <c r="G22" s="69">
        <f t="shared" si="1"/>
        <v>800</v>
      </c>
    </row>
    <row r="23" spans="1:7" x14ac:dyDescent="0.3">
      <c r="A23" s="67" t="s">
        <v>138</v>
      </c>
      <c r="B23" s="67" t="s">
        <v>111</v>
      </c>
      <c r="C23" s="67" t="s">
        <v>112</v>
      </c>
      <c r="D23" s="67" t="s">
        <v>139</v>
      </c>
      <c r="E23" s="68">
        <v>1</v>
      </c>
      <c r="F23" s="69">
        <v>7000</v>
      </c>
      <c r="G23" s="69">
        <f t="shared" si="1"/>
        <v>7000</v>
      </c>
    </row>
    <row r="24" spans="1:7" x14ac:dyDescent="0.3">
      <c r="A24" s="67" t="s">
        <v>140</v>
      </c>
      <c r="B24" s="67" t="s">
        <v>111</v>
      </c>
      <c r="C24" s="67" t="s">
        <v>132</v>
      </c>
      <c r="D24" s="67" t="s">
        <v>141</v>
      </c>
      <c r="E24" s="68">
        <v>1</v>
      </c>
      <c r="F24" s="69">
        <v>1600</v>
      </c>
      <c r="G24" s="69">
        <f t="shared" si="1"/>
        <v>1600</v>
      </c>
    </row>
    <row r="25" spans="1:7" x14ac:dyDescent="0.3">
      <c r="A25" s="67" t="s">
        <v>142</v>
      </c>
      <c r="B25" s="67" t="s">
        <v>111</v>
      </c>
      <c r="C25" s="67" t="s">
        <v>132</v>
      </c>
      <c r="D25" s="67" t="s">
        <v>143</v>
      </c>
      <c r="E25" s="68">
        <v>1</v>
      </c>
      <c r="F25" s="69">
        <v>600</v>
      </c>
      <c r="G25" s="69">
        <f t="shared" si="1"/>
        <v>600</v>
      </c>
    </row>
    <row r="26" spans="1:7" x14ac:dyDescent="0.3">
      <c r="A26" s="67" t="s">
        <v>144</v>
      </c>
      <c r="B26" s="67" t="s">
        <v>111</v>
      </c>
      <c r="C26" s="67" t="s">
        <v>132</v>
      </c>
      <c r="D26" s="67" t="s">
        <v>145</v>
      </c>
      <c r="E26" s="68">
        <v>1</v>
      </c>
      <c r="F26" s="69">
        <v>700</v>
      </c>
      <c r="G26" s="69">
        <f t="shared" si="1"/>
        <v>700</v>
      </c>
    </row>
    <row r="27" spans="1:7" x14ac:dyDescent="0.3">
      <c r="A27" s="67" t="s">
        <v>146</v>
      </c>
      <c r="B27" s="67" t="s">
        <v>111</v>
      </c>
      <c r="C27" s="67" t="s">
        <v>132</v>
      </c>
      <c r="D27" s="67" t="s">
        <v>147</v>
      </c>
      <c r="E27" s="68">
        <v>1</v>
      </c>
      <c r="F27" s="69">
        <v>25000</v>
      </c>
      <c r="G27" s="69">
        <f t="shared" si="1"/>
        <v>25000</v>
      </c>
    </row>
    <row r="28" spans="1:7" x14ac:dyDescent="0.3">
      <c r="A28" s="67" t="s">
        <v>148</v>
      </c>
      <c r="B28" s="67" t="s">
        <v>111</v>
      </c>
      <c r="C28" s="67" t="s">
        <v>132</v>
      </c>
      <c r="D28" s="67" t="s">
        <v>149</v>
      </c>
      <c r="E28" s="68">
        <v>1</v>
      </c>
      <c r="F28" s="69">
        <v>2000</v>
      </c>
      <c r="G28" s="69">
        <f t="shared" si="1"/>
        <v>2000</v>
      </c>
    </row>
    <row r="29" spans="1:7" x14ac:dyDescent="0.3">
      <c r="A29" s="42"/>
      <c r="B29" s="42"/>
      <c r="C29" s="42"/>
      <c r="D29" s="40" t="s">
        <v>150</v>
      </c>
      <c r="E29" s="41">
        <v>1</v>
      </c>
      <c r="F29" s="61">
        <f>SUM(G20:G28)</f>
        <v>38560</v>
      </c>
      <c r="G29" s="61">
        <f>ROUND(F29*E29,2)</f>
        <v>38560</v>
      </c>
    </row>
    <row r="30" spans="1:7" x14ac:dyDescent="0.3">
      <c r="A30" s="43"/>
      <c r="B30" s="43"/>
      <c r="C30" s="43"/>
      <c r="D30" s="43"/>
    </row>
    <row r="31" spans="1:7" x14ac:dyDescent="0.3">
      <c r="A31" s="46" t="s">
        <v>151</v>
      </c>
      <c r="B31" s="46" t="s">
        <v>107</v>
      </c>
      <c r="C31" s="46" t="s">
        <v>108</v>
      </c>
      <c r="D31" s="46" t="s">
        <v>152</v>
      </c>
      <c r="E31" s="47">
        <f>E39</f>
        <v>1</v>
      </c>
      <c r="F31" s="62">
        <f>F39</f>
        <v>14860</v>
      </c>
      <c r="G31" s="62">
        <f>G39</f>
        <v>14860</v>
      </c>
    </row>
    <row r="32" spans="1:7" x14ac:dyDescent="0.3">
      <c r="A32" s="67" t="s">
        <v>153</v>
      </c>
      <c r="B32" s="67" t="s">
        <v>111</v>
      </c>
      <c r="C32" s="67" t="s">
        <v>112</v>
      </c>
      <c r="D32" s="67" t="s">
        <v>154</v>
      </c>
      <c r="E32" s="68">
        <v>7</v>
      </c>
      <c r="F32" s="69">
        <v>1050</v>
      </c>
      <c r="G32" s="69">
        <f t="shared" ref="G32:G38" si="2">ROUND(E32*F32,2)</f>
        <v>7350</v>
      </c>
    </row>
    <row r="33" spans="1:7" x14ac:dyDescent="0.3">
      <c r="A33" s="67" t="s">
        <v>155</v>
      </c>
      <c r="B33" s="67" t="s">
        <v>111</v>
      </c>
      <c r="C33" s="67" t="s">
        <v>112</v>
      </c>
      <c r="D33" s="67" t="s">
        <v>156</v>
      </c>
      <c r="E33" s="68">
        <v>20</v>
      </c>
      <c r="F33" s="69">
        <v>20</v>
      </c>
      <c r="G33" s="69">
        <f t="shared" si="2"/>
        <v>400</v>
      </c>
    </row>
    <row r="34" spans="1:7" x14ac:dyDescent="0.3">
      <c r="A34" s="67" t="s">
        <v>157</v>
      </c>
      <c r="B34" s="67" t="s">
        <v>111</v>
      </c>
      <c r="C34" s="67" t="s">
        <v>132</v>
      </c>
      <c r="D34" s="67" t="s">
        <v>158</v>
      </c>
      <c r="E34" s="68">
        <v>1</v>
      </c>
      <c r="F34" s="69">
        <v>500</v>
      </c>
      <c r="G34" s="69">
        <f t="shared" si="2"/>
        <v>500</v>
      </c>
    </row>
    <row r="35" spans="1:7" x14ac:dyDescent="0.3">
      <c r="A35" s="67" t="s">
        <v>159</v>
      </c>
      <c r="B35" s="67" t="s">
        <v>111</v>
      </c>
      <c r="C35" s="67" t="s">
        <v>132</v>
      </c>
      <c r="D35" s="67" t="s">
        <v>160</v>
      </c>
      <c r="E35" s="68">
        <v>1</v>
      </c>
      <c r="F35" s="69">
        <v>1800</v>
      </c>
      <c r="G35" s="69">
        <f t="shared" si="2"/>
        <v>1800</v>
      </c>
    </row>
    <row r="36" spans="1:7" x14ac:dyDescent="0.3">
      <c r="A36" s="67" t="s">
        <v>161</v>
      </c>
      <c r="B36" s="67" t="s">
        <v>111</v>
      </c>
      <c r="C36" s="67" t="s">
        <v>112</v>
      </c>
      <c r="D36" s="67" t="s">
        <v>162</v>
      </c>
      <c r="E36" s="68">
        <v>6</v>
      </c>
      <c r="F36" s="69">
        <v>200</v>
      </c>
      <c r="G36" s="69">
        <f t="shared" si="2"/>
        <v>1200</v>
      </c>
    </row>
    <row r="37" spans="1:7" x14ac:dyDescent="0.3">
      <c r="A37" s="67" t="s">
        <v>163</v>
      </c>
      <c r="B37" s="67" t="s">
        <v>111</v>
      </c>
      <c r="C37" s="67" t="s">
        <v>164</v>
      </c>
      <c r="D37" s="67" t="s">
        <v>165</v>
      </c>
      <c r="E37" s="68">
        <v>37</v>
      </c>
      <c r="F37" s="69">
        <v>30</v>
      </c>
      <c r="G37" s="69">
        <f t="shared" si="2"/>
        <v>1110</v>
      </c>
    </row>
    <row r="38" spans="1:7" x14ac:dyDescent="0.3">
      <c r="A38" s="67" t="s">
        <v>166</v>
      </c>
      <c r="B38" s="67" t="s">
        <v>111</v>
      </c>
      <c r="C38" s="67" t="s">
        <v>132</v>
      </c>
      <c r="D38" s="67" t="s">
        <v>167</v>
      </c>
      <c r="E38" s="68">
        <v>1</v>
      </c>
      <c r="F38" s="69">
        <v>2500</v>
      </c>
      <c r="G38" s="69">
        <f t="shared" si="2"/>
        <v>2500</v>
      </c>
    </row>
    <row r="39" spans="1:7" x14ac:dyDescent="0.3">
      <c r="A39" s="42"/>
      <c r="B39" s="42"/>
      <c r="C39" s="42"/>
      <c r="D39" s="40" t="s">
        <v>168</v>
      </c>
      <c r="E39" s="41">
        <v>1</v>
      </c>
      <c r="F39" s="61">
        <f>SUM(G32:G38)</f>
        <v>14860</v>
      </c>
      <c r="G39" s="61">
        <f>ROUND(F39*E39,2)</f>
        <v>14860</v>
      </c>
    </row>
    <row r="40" spans="1:7" x14ac:dyDescent="0.3">
      <c r="A40" s="43"/>
      <c r="B40" s="43"/>
      <c r="C40" s="43"/>
      <c r="D40" s="43"/>
    </row>
    <row r="41" spans="1:7" x14ac:dyDescent="0.3">
      <c r="A41" s="46" t="s">
        <v>169</v>
      </c>
      <c r="B41" s="46" t="s">
        <v>107</v>
      </c>
      <c r="C41" s="46" t="s">
        <v>108</v>
      </c>
      <c r="D41" s="46" t="s">
        <v>170</v>
      </c>
      <c r="E41" s="47">
        <f>E52</f>
        <v>1</v>
      </c>
      <c r="F41" s="62">
        <f>F52</f>
        <v>23102</v>
      </c>
      <c r="G41" s="62">
        <f>G52</f>
        <v>23102</v>
      </c>
    </row>
    <row r="42" spans="1:7" x14ac:dyDescent="0.3">
      <c r="A42" s="67" t="s">
        <v>171</v>
      </c>
      <c r="B42" s="67" t="s">
        <v>111</v>
      </c>
      <c r="C42" s="67" t="s">
        <v>132</v>
      </c>
      <c r="D42" s="67" t="s">
        <v>172</v>
      </c>
      <c r="E42" s="68">
        <v>17</v>
      </c>
      <c r="F42" s="69">
        <v>300</v>
      </c>
      <c r="G42" s="69">
        <f t="shared" ref="G42:G51" si="3">ROUND(E42*F42,2)</f>
        <v>5100</v>
      </c>
    </row>
    <row r="43" spans="1:7" x14ac:dyDescent="0.3">
      <c r="A43" s="67" t="s">
        <v>173</v>
      </c>
      <c r="B43" s="67" t="s">
        <v>111</v>
      </c>
      <c r="C43" s="67" t="s">
        <v>132</v>
      </c>
      <c r="D43" s="67" t="s">
        <v>174</v>
      </c>
      <c r="E43" s="68">
        <v>2</v>
      </c>
      <c r="F43" s="69">
        <v>150</v>
      </c>
      <c r="G43" s="69">
        <f t="shared" si="3"/>
        <v>300</v>
      </c>
    </row>
    <row r="44" spans="1:7" x14ac:dyDescent="0.3">
      <c r="A44" s="67" t="s">
        <v>175</v>
      </c>
      <c r="B44" s="67" t="s">
        <v>111</v>
      </c>
      <c r="C44" s="67" t="s">
        <v>132</v>
      </c>
      <c r="D44" s="67" t="s">
        <v>176</v>
      </c>
      <c r="E44" s="68">
        <v>4</v>
      </c>
      <c r="F44" s="69">
        <v>150</v>
      </c>
      <c r="G44" s="69">
        <f t="shared" si="3"/>
        <v>600</v>
      </c>
    </row>
    <row r="45" spans="1:7" x14ac:dyDescent="0.3">
      <c r="A45" s="67" t="s">
        <v>177</v>
      </c>
      <c r="B45" s="67" t="s">
        <v>111</v>
      </c>
      <c r="C45" s="67" t="s">
        <v>132</v>
      </c>
      <c r="D45" s="67" t="s">
        <v>178</v>
      </c>
      <c r="E45" s="68">
        <v>1</v>
      </c>
      <c r="F45" s="69">
        <v>950</v>
      </c>
      <c r="G45" s="69">
        <f t="shared" si="3"/>
        <v>950</v>
      </c>
    </row>
    <row r="46" spans="1:7" x14ac:dyDescent="0.3">
      <c r="A46" s="67" t="s">
        <v>179</v>
      </c>
      <c r="B46" s="67" t="s">
        <v>111</v>
      </c>
      <c r="C46" s="67" t="s">
        <v>164</v>
      </c>
      <c r="D46" s="67" t="s">
        <v>180</v>
      </c>
      <c r="E46" s="68">
        <v>9.92</v>
      </c>
      <c r="F46" s="69">
        <v>600</v>
      </c>
      <c r="G46" s="69">
        <f t="shared" si="3"/>
        <v>5952</v>
      </c>
    </row>
    <row r="47" spans="1:7" x14ac:dyDescent="0.3">
      <c r="A47" s="67" t="s">
        <v>181</v>
      </c>
      <c r="B47" s="67" t="s">
        <v>111</v>
      </c>
      <c r="C47" s="67" t="s">
        <v>112</v>
      </c>
      <c r="D47" s="67" t="s">
        <v>182</v>
      </c>
      <c r="E47" s="68">
        <v>17</v>
      </c>
      <c r="F47" s="69">
        <v>175</v>
      </c>
      <c r="G47" s="69">
        <f t="shared" si="3"/>
        <v>2975</v>
      </c>
    </row>
    <row r="48" spans="1:7" x14ac:dyDescent="0.3">
      <c r="A48" s="67" t="s">
        <v>183</v>
      </c>
      <c r="B48" s="67" t="s">
        <v>111</v>
      </c>
      <c r="C48" s="67" t="s">
        <v>112</v>
      </c>
      <c r="D48" s="67" t="s">
        <v>184</v>
      </c>
      <c r="E48" s="68">
        <v>17</v>
      </c>
      <c r="F48" s="69">
        <v>165</v>
      </c>
      <c r="G48" s="69">
        <f t="shared" si="3"/>
        <v>2805</v>
      </c>
    </row>
    <row r="49" spans="1:7" x14ac:dyDescent="0.3">
      <c r="A49" s="67" t="s">
        <v>185</v>
      </c>
      <c r="B49" s="67" t="s">
        <v>111</v>
      </c>
      <c r="C49" s="67" t="s">
        <v>112</v>
      </c>
      <c r="D49" s="67" t="s">
        <v>186</v>
      </c>
      <c r="E49" s="68">
        <v>17</v>
      </c>
      <c r="F49" s="69">
        <v>190</v>
      </c>
      <c r="G49" s="69">
        <f t="shared" si="3"/>
        <v>3230</v>
      </c>
    </row>
    <row r="50" spans="1:7" x14ac:dyDescent="0.3">
      <c r="A50" s="67" t="s">
        <v>187</v>
      </c>
      <c r="B50" s="67" t="s">
        <v>111</v>
      </c>
      <c r="C50" s="67" t="s">
        <v>112</v>
      </c>
      <c r="D50" s="67" t="s">
        <v>188</v>
      </c>
      <c r="E50" s="68">
        <v>17</v>
      </c>
      <c r="F50" s="69">
        <v>50</v>
      </c>
      <c r="G50" s="69">
        <f t="shared" si="3"/>
        <v>850</v>
      </c>
    </row>
    <row r="51" spans="1:7" x14ac:dyDescent="0.3">
      <c r="A51" s="67" t="s">
        <v>189</v>
      </c>
      <c r="B51" s="67" t="s">
        <v>111</v>
      </c>
      <c r="C51" s="67" t="s">
        <v>112</v>
      </c>
      <c r="D51" s="67" t="s">
        <v>190</v>
      </c>
      <c r="E51" s="68">
        <v>17</v>
      </c>
      <c r="F51" s="69">
        <v>20</v>
      </c>
      <c r="G51" s="69">
        <f t="shared" si="3"/>
        <v>340</v>
      </c>
    </row>
    <row r="52" spans="1:7" x14ac:dyDescent="0.3">
      <c r="A52" s="42"/>
      <c r="B52" s="42"/>
      <c r="C52" s="42"/>
      <c r="D52" s="40" t="s">
        <v>191</v>
      </c>
      <c r="E52" s="41">
        <v>1</v>
      </c>
      <c r="F52" s="61">
        <f>SUM(G42:G51)</f>
        <v>23102</v>
      </c>
      <c r="G52" s="61">
        <f>ROUND(F52*E52,2)</f>
        <v>23102</v>
      </c>
    </row>
    <row r="53" spans="1:7" x14ac:dyDescent="0.3">
      <c r="A53" s="43"/>
      <c r="B53" s="43"/>
      <c r="C53" s="43"/>
      <c r="D53" s="43"/>
    </row>
    <row r="54" spans="1:7" x14ac:dyDescent="0.3">
      <c r="A54" s="46" t="s">
        <v>192</v>
      </c>
      <c r="B54" s="46" t="s">
        <v>107</v>
      </c>
      <c r="C54" s="46" t="s">
        <v>108</v>
      </c>
      <c r="D54" s="46" t="s">
        <v>193</v>
      </c>
      <c r="E54" s="47">
        <f>E56</f>
        <v>1</v>
      </c>
      <c r="F54" s="62">
        <f>F56</f>
        <v>2500</v>
      </c>
      <c r="G54" s="62">
        <f>G56</f>
        <v>2500</v>
      </c>
    </row>
    <row r="55" spans="1:7" x14ac:dyDescent="0.3">
      <c r="A55" s="67" t="s">
        <v>194</v>
      </c>
      <c r="B55" s="67" t="s">
        <v>111</v>
      </c>
      <c r="C55" s="67" t="s">
        <v>132</v>
      </c>
      <c r="D55" s="67" t="s">
        <v>195</v>
      </c>
      <c r="E55" s="68">
        <v>1</v>
      </c>
      <c r="F55" s="69">
        <v>2500</v>
      </c>
      <c r="G55" s="69">
        <f>ROUND(E55*F55,2)</f>
        <v>2500</v>
      </c>
    </row>
    <row r="56" spans="1:7" x14ac:dyDescent="0.3">
      <c r="A56" s="42"/>
      <c r="B56" s="42"/>
      <c r="C56" s="42"/>
      <c r="D56" s="40" t="s">
        <v>196</v>
      </c>
      <c r="E56" s="41">
        <v>1</v>
      </c>
      <c r="F56" s="61">
        <f>G55</f>
        <v>2500</v>
      </c>
      <c r="G56" s="61">
        <f>ROUND(F56*E56,2)</f>
        <v>2500</v>
      </c>
    </row>
    <row r="57" spans="1:7" x14ac:dyDescent="0.3">
      <c r="A57" s="43"/>
      <c r="B57" s="43"/>
      <c r="C57" s="43"/>
      <c r="D57" s="43"/>
    </row>
    <row r="58" spans="1:7" x14ac:dyDescent="0.3">
      <c r="A58" s="46" t="s">
        <v>197</v>
      </c>
      <c r="B58" s="46" t="s">
        <v>107</v>
      </c>
      <c r="C58" s="46" t="s">
        <v>108</v>
      </c>
      <c r="D58" s="46" t="s">
        <v>198</v>
      </c>
      <c r="E58" s="47">
        <f>E62</f>
        <v>1</v>
      </c>
      <c r="F58" s="62">
        <f>F62</f>
        <v>6300</v>
      </c>
      <c r="G58" s="62">
        <f>G62</f>
        <v>6300</v>
      </c>
    </row>
    <row r="59" spans="1:7" x14ac:dyDescent="0.3">
      <c r="A59" s="67" t="s">
        <v>199</v>
      </c>
      <c r="B59" s="67" t="s">
        <v>111</v>
      </c>
      <c r="C59" s="67" t="s">
        <v>112</v>
      </c>
      <c r="D59" s="67" t="s">
        <v>200</v>
      </c>
      <c r="E59" s="68">
        <v>1</v>
      </c>
      <c r="F59" s="69">
        <v>2000</v>
      </c>
      <c r="G59" s="69">
        <f>ROUND(E59*F59,2)</f>
        <v>2000</v>
      </c>
    </row>
    <row r="60" spans="1:7" x14ac:dyDescent="0.3">
      <c r="A60" s="67" t="s">
        <v>201</v>
      </c>
      <c r="B60" s="67" t="s">
        <v>111</v>
      </c>
      <c r="C60" s="67" t="s">
        <v>132</v>
      </c>
      <c r="D60" s="67" t="s">
        <v>202</v>
      </c>
      <c r="E60" s="68">
        <v>1</v>
      </c>
      <c r="F60" s="69">
        <v>4000</v>
      </c>
      <c r="G60" s="69">
        <f>ROUND(E60*F60,2)</f>
        <v>4000</v>
      </c>
    </row>
    <row r="61" spans="1:7" x14ac:dyDescent="0.3">
      <c r="A61" s="67" t="s">
        <v>203</v>
      </c>
      <c r="B61" s="67" t="s">
        <v>111</v>
      </c>
      <c r="C61" s="67" t="s">
        <v>112</v>
      </c>
      <c r="D61" s="67" t="s">
        <v>204</v>
      </c>
      <c r="E61" s="68">
        <v>1</v>
      </c>
      <c r="F61" s="69">
        <v>300</v>
      </c>
      <c r="G61" s="69">
        <f>ROUND(E61*F61,2)</f>
        <v>300</v>
      </c>
    </row>
    <row r="62" spans="1:7" x14ac:dyDescent="0.3">
      <c r="A62" s="42"/>
      <c r="B62" s="42"/>
      <c r="C62" s="42"/>
      <c r="D62" s="40" t="s">
        <v>205</v>
      </c>
      <c r="E62" s="41">
        <v>1</v>
      </c>
      <c r="F62" s="61">
        <f>SUM(G59:G61)</f>
        <v>6300</v>
      </c>
      <c r="G62" s="61">
        <f>ROUND(F62*E62,2)</f>
        <v>6300</v>
      </c>
    </row>
    <row r="63" spans="1:7" x14ac:dyDescent="0.3">
      <c r="A63" s="43"/>
      <c r="B63" s="43"/>
      <c r="C63" s="43"/>
      <c r="D63" s="43"/>
    </row>
    <row r="64" spans="1:7" x14ac:dyDescent="0.3">
      <c r="A64" s="42"/>
      <c r="B64" s="42"/>
      <c r="C64" s="42"/>
      <c r="D64" s="40" t="s">
        <v>206</v>
      </c>
      <c r="E64" s="41">
        <v>1</v>
      </c>
      <c r="F64" s="61">
        <f>G12+G17+G29+G39+G52+G56+G62</f>
        <v>211795.02000000002</v>
      </c>
      <c r="G64" s="61">
        <f>ROUND(F64*E64,2)</f>
        <v>211795.02</v>
      </c>
    </row>
    <row r="65" spans="1:7" ht="15" thickBot="1" x14ac:dyDescent="0.35">
      <c r="A65" s="44"/>
      <c r="B65" s="44"/>
      <c r="C65" s="44"/>
      <c r="D65" s="44"/>
      <c r="E65" s="45"/>
      <c r="F65" s="64"/>
      <c r="G65" s="64"/>
    </row>
  </sheetData>
  <dataValidations count="1">
    <dataValidation type="list" allowBlank="1" showInputMessage="1" showErrorMessage="1" sqref="B4:B65">
      <formula1>"Capítulo,Partida,Mano de obra,Maquinaria,Material,Otros,"</formula1>
    </dataValidation>
  </dataValidation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&amp;L&amp;F&amp;R&amp;A</oddHeader>
    <oddFooter>&amp;L&amp;P -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O45"/>
  <sheetViews>
    <sheetView workbookViewId="0">
      <selection activeCell="H49" sqref="H49"/>
    </sheetView>
  </sheetViews>
  <sheetFormatPr baseColWidth="10" defaultRowHeight="14.4" x14ac:dyDescent="0.3"/>
  <cols>
    <col min="5" max="5" width="37.44140625" bestFit="1" customWidth="1"/>
    <col min="6" max="6" width="12.33203125" bestFit="1" customWidth="1"/>
    <col min="7" max="7" width="12.33203125" customWidth="1"/>
  </cols>
  <sheetData>
    <row r="2" spans="6:11" x14ac:dyDescent="0.3">
      <c r="F2" s="21" t="s">
        <v>64</v>
      </c>
      <c r="G2" s="1">
        <v>0</v>
      </c>
      <c r="H2" s="1">
        <v>37.1</v>
      </c>
      <c r="I2">
        <v>1</v>
      </c>
    </row>
    <row r="3" spans="6:11" x14ac:dyDescent="0.3">
      <c r="F3" s="21" t="s">
        <v>65</v>
      </c>
      <c r="G3" s="1">
        <f>+H2+0.001</f>
        <v>37.100999999999999</v>
      </c>
      <c r="H3" s="1">
        <v>60.1</v>
      </c>
      <c r="I3">
        <v>2</v>
      </c>
    </row>
    <row r="4" spans="6:11" x14ac:dyDescent="0.3">
      <c r="F4" s="21" t="s">
        <v>66</v>
      </c>
      <c r="G4" s="1">
        <f t="shared" ref="G4:G8" si="0">+H3+0.001</f>
        <v>60.100999999999999</v>
      </c>
      <c r="H4" s="1">
        <v>93.2</v>
      </c>
      <c r="I4">
        <v>3</v>
      </c>
    </row>
    <row r="5" spans="6:11" x14ac:dyDescent="0.3">
      <c r="F5" s="21" t="s">
        <v>67</v>
      </c>
      <c r="G5" s="1">
        <f t="shared" si="0"/>
        <v>93.201000000000008</v>
      </c>
      <c r="H5" s="1">
        <v>143.30000000000001</v>
      </c>
      <c r="I5">
        <v>4</v>
      </c>
    </row>
    <row r="6" spans="6:11" x14ac:dyDescent="0.3">
      <c r="F6" s="21" t="s">
        <v>45</v>
      </c>
      <c r="G6" s="1">
        <f t="shared" si="0"/>
        <v>143.30100000000002</v>
      </c>
      <c r="H6" s="1">
        <v>298.10000000000002</v>
      </c>
      <c r="I6">
        <v>5</v>
      </c>
    </row>
    <row r="7" spans="6:11" x14ac:dyDescent="0.3">
      <c r="F7" s="21" t="s">
        <v>68</v>
      </c>
      <c r="G7" s="1">
        <f t="shared" si="0"/>
        <v>298.101</v>
      </c>
      <c r="H7" s="1">
        <v>336.8</v>
      </c>
      <c r="I7">
        <v>6</v>
      </c>
    </row>
    <row r="8" spans="6:11" x14ac:dyDescent="0.3">
      <c r="F8" s="21" t="s">
        <v>44</v>
      </c>
      <c r="G8" s="1">
        <f t="shared" si="0"/>
        <v>336.80099999999999</v>
      </c>
      <c r="H8" s="1"/>
      <c r="I8">
        <v>7</v>
      </c>
    </row>
    <row r="9" spans="6:11" x14ac:dyDescent="0.3">
      <c r="F9" s="21"/>
      <c r="G9" s="1"/>
      <c r="H9" s="1"/>
    </row>
    <row r="10" spans="6:11" x14ac:dyDescent="0.3">
      <c r="G10" s="1"/>
      <c r="H10" s="1"/>
    </row>
    <row r="11" spans="6:11" x14ac:dyDescent="0.3">
      <c r="G11" s="1"/>
      <c r="H11" s="1"/>
    </row>
    <row r="14" spans="6:11" x14ac:dyDescent="0.3">
      <c r="H14" s="23" t="s">
        <v>69</v>
      </c>
      <c r="I14" s="24"/>
      <c r="J14" s="24"/>
      <c r="K14" s="24"/>
    </row>
    <row r="15" spans="6:11" x14ac:dyDescent="0.3">
      <c r="H15" s="25">
        <v>43684</v>
      </c>
      <c r="I15" s="26" t="s">
        <v>70</v>
      </c>
      <c r="J15" s="26"/>
      <c r="K15" s="26"/>
    </row>
    <row r="16" spans="6:11" x14ac:dyDescent="0.3">
      <c r="H16" s="23" t="s">
        <v>71</v>
      </c>
      <c r="I16" s="27">
        <v>0.3</v>
      </c>
      <c r="J16" s="28">
        <v>0.45</v>
      </c>
      <c r="K16" s="28">
        <v>0.6</v>
      </c>
    </row>
    <row r="18" spans="5:15" x14ac:dyDescent="0.3">
      <c r="E18" s="29" t="s">
        <v>72</v>
      </c>
      <c r="F18" s="29" t="s">
        <v>73</v>
      </c>
      <c r="G18" s="30" t="s">
        <v>45</v>
      </c>
      <c r="H18" s="31">
        <f>SUM(H19:H22)</f>
        <v>236.7</v>
      </c>
      <c r="I18" s="31">
        <f t="shared" ref="I18" si="1">+H18*(1-$I$16)</f>
        <v>165.68999999999997</v>
      </c>
      <c r="J18" s="31">
        <f>+H18*(1-$J$16)</f>
        <v>130.185</v>
      </c>
      <c r="K18" s="31">
        <f>+H18*(1-$K$16)</f>
        <v>94.68</v>
      </c>
    </row>
    <row r="19" spans="5:15" x14ac:dyDescent="0.3">
      <c r="E19" s="24" t="s">
        <v>74</v>
      </c>
      <c r="F19" s="24" t="s">
        <v>73</v>
      </c>
      <c r="G19" s="32" t="s">
        <v>45</v>
      </c>
      <c r="H19" s="33">
        <v>186.51</v>
      </c>
      <c r="I19" s="33">
        <f>+H19*(1-$I$16)</f>
        <v>130.55699999999999</v>
      </c>
      <c r="J19" s="33">
        <f t="shared" ref="J19:J22" si="2">+H19*(1-$J$16)</f>
        <v>102.5805</v>
      </c>
      <c r="K19" s="33">
        <f t="shared" ref="K19:K22" si="3">+H19*(1-$K$16)</f>
        <v>74.603999999999999</v>
      </c>
    </row>
    <row r="20" spans="5:15" x14ac:dyDescent="0.3">
      <c r="E20" s="24" t="s">
        <v>75</v>
      </c>
      <c r="F20" s="24" t="s">
        <v>73</v>
      </c>
      <c r="G20" s="32" t="s">
        <v>44</v>
      </c>
      <c r="H20" s="33">
        <v>34.950000000000003</v>
      </c>
      <c r="I20" s="33">
        <f t="shared" ref="I20:I22" si="4">+H20*(1-$I$16)</f>
        <v>24.465</v>
      </c>
      <c r="J20" s="33">
        <f t="shared" si="2"/>
        <v>19.222500000000004</v>
      </c>
      <c r="K20" s="33">
        <f t="shared" si="3"/>
        <v>13.980000000000002</v>
      </c>
    </row>
    <row r="21" spans="5:15" x14ac:dyDescent="0.3">
      <c r="E21" s="24" t="s">
        <v>76</v>
      </c>
      <c r="F21" s="24" t="s">
        <v>73</v>
      </c>
      <c r="G21" s="32" t="s">
        <v>67</v>
      </c>
      <c r="H21" s="33">
        <v>15.24</v>
      </c>
      <c r="I21" s="33">
        <f t="shared" si="4"/>
        <v>10.667999999999999</v>
      </c>
      <c r="J21" s="33">
        <f t="shared" si="2"/>
        <v>8.3820000000000014</v>
      </c>
      <c r="K21" s="33">
        <f t="shared" si="3"/>
        <v>6.0960000000000001</v>
      </c>
    </row>
    <row r="22" spans="5:15" x14ac:dyDescent="0.3">
      <c r="E22" s="24" t="s">
        <v>77</v>
      </c>
      <c r="F22" s="24" t="s">
        <v>73</v>
      </c>
      <c r="G22" s="32" t="s">
        <v>78</v>
      </c>
      <c r="H22" s="33">
        <v>0</v>
      </c>
      <c r="I22" s="33">
        <f t="shared" si="4"/>
        <v>0</v>
      </c>
      <c r="J22" s="33">
        <f t="shared" si="2"/>
        <v>0</v>
      </c>
      <c r="K22" s="33">
        <f t="shared" si="3"/>
        <v>0</v>
      </c>
    </row>
    <row r="23" spans="5:15" x14ac:dyDescent="0.3">
      <c r="H23" s="1"/>
      <c r="I23" s="1"/>
      <c r="J23" s="1"/>
      <c r="K23" s="1"/>
    </row>
    <row r="24" spans="5:15" x14ac:dyDescent="0.3">
      <c r="H24" s="23" t="s">
        <v>79</v>
      </c>
      <c r="I24" s="24"/>
      <c r="J24" s="24"/>
      <c r="K24" s="24"/>
    </row>
    <row r="25" spans="5:15" x14ac:dyDescent="0.3">
      <c r="H25" s="25">
        <v>44627</v>
      </c>
      <c r="I25" s="26" t="s">
        <v>70</v>
      </c>
      <c r="J25" s="26"/>
      <c r="K25" s="26"/>
    </row>
    <row r="26" spans="5:15" x14ac:dyDescent="0.3">
      <c r="H26" s="23" t="s">
        <v>80</v>
      </c>
      <c r="I26" s="27">
        <v>0.3</v>
      </c>
      <c r="J26" s="28">
        <v>0.45</v>
      </c>
      <c r="K26" s="28">
        <v>0.6</v>
      </c>
    </row>
    <row r="28" spans="5:15" x14ac:dyDescent="0.3">
      <c r="E28" s="29" t="s">
        <v>72</v>
      </c>
      <c r="F28" s="29" t="s">
        <v>73</v>
      </c>
      <c r="G28" s="30" t="s">
        <v>44</v>
      </c>
      <c r="H28" s="31">
        <f>SUM(H29:H32)</f>
        <v>338.71</v>
      </c>
      <c r="I28" s="31">
        <f t="shared" ref="I28" si="5">+H28*(1-$I$16)</f>
        <v>237.09699999999998</v>
      </c>
      <c r="J28" s="31">
        <f>+H28*(1-$J$16)</f>
        <v>186.29050000000001</v>
      </c>
      <c r="K28" s="31">
        <f>+H28*(1-$K$16)</f>
        <v>135.48400000000001</v>
      </c>
      <c r="N28" s="3">
        <f>+H28-H18</f>
        <v>102.00999999999999</v>
      </c>
      <c r="O28" s="4">
        <f>+N28/H18</f>
        <v>0.43096746937051117</v>
      </c>
    </row>
    <row r="29" spans="5:15" x14ac:dyDescent="0.3">
      <c r="E29" s="24" t="s">
        <v>74</v>
      </c>
      <c r="F29" s="24" t="s">
        <v>73</v>
      </c>
      <c r="G29" s="32" t="s">
        <v>68</v>
      </c>
      <c r="H29" s="33">
        <v>282.12</v>
      </c>
      <c r="I29" s="33">
        <f>+H29*(1-$I$16)</f>
        <v>197.48399999999998</v>
      </c>
      <c r="J29" s="33">
        <f t="shared" ref="J29:J32" si="6">+H29*(1-$J$16)</f>
        <v>155.16600000000003</v>
      </c>
      <c r="K29" s="33">
        <f t="shared" ref="K29:K32" si="7">+H29*(1-$K$16)</f>
        <v>112.84800000000001</v>
      </c>
      <c r="N29" s="3">
        <f t="shared" ref="N29:N31" si="8">+H29-H19</f>
        <v>95.610000000000014</v>
      </c>
      <c r="O29" s="4">
        <f t="shared" ref="O29:O31" si="9">+N29/H19</f>
        <v>0.5126266688113239</v>
      </c>
    </row>
    <row r="30" spans="5:15" x14ac:dyDescent="0.3">
      <c r="E30" s="24" t="s">
        <v>75</v>
      </c>
      <c r="F30" s="24" t="s">
        <v>73</v>
      </c>
      <c r="G30" s="32" t="s">
        <v>44</v>
      </c>
      <c r="H30" s="33">
        <v>32.01</v>
      </c>
      <c r="I30" s="33">
        <f t="shared" ref="I30:I32" si="10">+H30*(1-$I$16)</f>
        <v>22.406999999999996</v>
      </c>
      <c r="J30" s="33">
        <f t="shared" si="6"/>
        <v>17.605499999999999</v>
      </c>
      <c r="K30" s="33">
        <f t="shared" si="7"/>
        <v>12.804</v>
      </c>
      <c r="N30" s="3">
        <f t="shared" si="8"/>
        <v>-2.9400000000000048</v>
      </c>
      <c r="O30" s="4">
        <f t="shared" si="9"/>
        <v>-8.4120171673819868E-2</v>
      </c>
    </row>
    <row r="31" spans="5:15" x14ac:dyDescent="0.3">
      <c r="E31" s="24" t="s">
        <v>76</v>
      </c>
      <c r="F31" s="24" t="s">
        <v>73</v>
      </c>
      <c r="G31" s="32" t="s">
        <v>45</v>
      </c>
      <c r="H31" s="33">
        <v>24.58</v>
      </c>
      <c r="I31" s="33">
        <f t="shared" si="10"/>
        <v>17.205999999999996</v>
      </c>
      <c r="J31" s="33">
        <f t="shared" si="6"/>
        <v>13.519</v>
      </c>
      <c r="K31" s="33">
        <f t="shared" si="7"/>
        <v>9.8320000000000007</v>
      </c>
      <c r="N31" s="3">
        <f t="shared" si="8"/>
        <v>9.3399999999999981</v>
      </c>
      <c r="O31" s="4">
        <f t="shared" si="9"/>
        <v>0.61286089238845132</v>
      </c>
    </row>
    <row r="32" spans="5:15" x14ac:dyDescent="0.3">
      <c r="E32" s="24" t="s">
        <v>77</v>
      </c>
      <c r="F32" s="24" t="s">
        <v>73</v>
      </c>
      <c r="G32" s="32" t="s">
        <v>78</v>
      </c>
      <c r="H32" s="33">
        <v>0</v>
      </c>
      <c r="I32" s="33">
        <f t="shared" si="10"/>
        <v>0</v>
      </c>
      <c r="J32" s="33">
        <f t="shared" si="6"/>
        <v>0</v>
      </c>
      <c r="K32" s="33">
        <f t="shared" si="7"/>
        <v>0</v>
      </c>
      <c r="N32" s="3"/>
      <c r="O32" s="4"/>
    </row>
    <row r="34" spans="5:11" x14ac:dyDescent="0.3">
      <c r="H34" t="s">
        <v>81</v>
      </c>
      <c r="I34" t="s">
        <v>82</v>
      </c>
      <c r="J34" t="s">
        <v>83</v>
      </c>
    </row>
    <row r="35" spans="5:11" x14ac:dyDescent="0.3">
      <c r="E35" s="29" t="s">
        <v>72</v>
      </c>
      <c r="H35" s="31">
        <f t="shared" ref="H35:I35" si="11">SUM(H36:H39)</f>
        <v>236.7</v>
      </c>
      <c r="I35" s="31">
        <f t="shared" si="11"/>
        <v>338.71</v>
      </c>
      <c r="J35" s="31">
        <f>+I35-H35</f>
        <v>102.00999999999999</v>
      </c>
      <c r="K35" s="5">
        <f>+J35/H35</f>
        <v>0.43096746937051117</v>
      </c>
    </row>
    <row r="36" spans="5:11" x14ac:dyDescent="0.3">
      <c r="E36" t="s">
        <v>84</v>
      </c>
      <c r="H36" s="34">
        <f>+H19</f>
        <v>186.51</v>
      </c>
      <c r="I36" s="34">
        <f>+H29</f>
        <v>282.12</v>
      </c>
      <c r="J36" s="3">
        <f>+I36-H36</f>
        <v>95.610000000000014</v>
      </c>
      <c r="K36" s="5">
        <f>+J36/H36</f>
        <v>0.5126266688113239</v>
      </c>
    </row>
    <row r="37" spans="5:11" x14ac:dyDescent="0.3">
      <c r="E37" t="s">
        <v>85</v>
      </c>
      <c r="H37" s="34">
        <f>+H21</f>
        <v>15.24</v>
      </c>
      <c r="I37" s="34">
        <f>+H31</f>
        <v>24.58</v>
      </c>
      <c r="J37" s="3">
        <f>+I37-H37</f>
        <v>9.3399999999999981</v>
      </c>
      <c r="K37" s="5">
        <f>+J37/H37</f>
        <v>0.61286089238845132</v>
      </c>
    </row>
    <row r="38" spans="5:11" x14ac:dyDescent="0.3">
      <c r="E38" t="s">
        <v>86</v>
      </c>
      <c r="H38" s="34">
        <f>+H20</f>
        <v>34.950000000000003</v>
      </c>
      <c r="I38" s="34">
        <f>+H30</f>
        <v>32.01</v>
      </c>
      <c r="J38" s="3">
        <f>+I38-H38</f>
        <v>-2.9400000000000048</v>
      </c>
      <c r="K38" s="5">
        <f>+J38/H38</f>
        <v>-8.4120171673819868E-2</v>
      </c>
    </row>
    <row r="39" spans="5:11" x14ac:dyDescent="0.3">
      <c r="H39" s="34"/>
      <c r="J39" s="3"/>
      <c r="K39" s="5"/>
    </row>
    <row r="40" spans="5:11" x14ac:dyDescent="0.3">
      <c r="H40" s="34"/>
      <c r="J40" s="3"/>
      <c r="K40" s="5"/>
    </row>
    <row r="41" spans="5:11" x14ac:dyDescent="0.3">
      <c r="H41" t="s">
        <v>81</v>
      </c>
      <c r="I41" t="s">
        <v>82</v>
      </c>
      <c r="J41" t="s">
        <v>87</v>
      </c>
    </row>
    <row r="42" spans="5:11" x14ac:dyDescent="0.3">
      <c r="E42" t="s">
        <v>88</v>
      </c>
      <c r="H42" s="34">
        <f>SUM(H43:H45)</f>
        <v>338.71</v>
      </c>
      <c r="I42" s="34">
        <f>SUM(I43:I45)</f>
        <v>119.65999999999998</v>
      </c>
      <c r="J42" s="3">
        <f>+I42-H42</f>
        <v>-219.05</v>
      </c>
      <c r="K42" s="5">
        <f>+J42/H42</f>
        <v>-0.64671843169673182</v>
      </c>
    </row>
    <row r="43" spans="5:11" x14ac:dyDescent="0.3">
      <c r="E43" t="s">
        <v>84</v>
      </c>
      <c r="H43" s="34">
        <f>+H29</f>
        <v>282.12</v>
      </c>
      <c r="I43">
        <v>84.52</v>
      </c>
      <c r="J43" s="3">
        <f>+I43-H43</f>
        <v>-197.60000000000002</v>
      </c>
      <c r="K43" s="5">
        <f>+J43/H43</f>
        <v>-0.70041117255068774</v>
      </c>
    </row>
    <row r="44" spans="5:11" x14ac:dyDescent="0.3">
      <c r="E44" t="s">
        <v>85</v>
      </c>
      <c r="H44" s="34">
        <f>+H31</f>
        <v>24.58</v>
      </c>
      <c r="I44">
        <v>33.369999999999997</v>
      </c>
      <c r="J44" s="3">
        <f>+I44-H44</f>
        <v>8.7899999999999991</v>
      </c>
      <c r="K44" s="5">
        <f>+J44/H44</f>
        <v>0.35760781122864116</v>
      </c>
    </row>
    <row r="45" spans="5:11" x14ac:dyDescent="0.3">
      <c r="E45" t="s">
        <v>86</v>
      </c>
      <c r="H45" s="34">
        <f>+H30</f>
        <v>32.01</v>
      </c>
      <c r="I45">
        <v>1.77</v>
      </c>
      <c r="J45" s="3">
        <f>+I45-H45</f>
        <v>-30.24</v>
      </c>
      <c r="K45" s="5">
        <f>+J45/H45</f>
        <v>-0.94470477975632616</v>
      </c>
    </row>
  </sheetData>
  <conditionalFormatting sqref="F2:F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TABLA MEJORA ENERGÉTICA</vt:lpstr>
      <vt:lpstr>TABLA MEJORA ENERGÉTICA +</vt:lpstr>
      <vt:lpstr>TABLA MEJORA ENERGÉTICA FASE I</vt:lpstr>
      <vt:lpstr>DETALLE PPTO</vt:lpstr>
      <vt:lpstr>Hoja1 (2)</vt:lpstr>
      <vt:lpstr>'TABLA MEJORA ENERGÉTICA'!Área_de_impresión</vt:lpstr>
      <vt:lpstr>'TABLA MEJORA ENERGÉTICA +'!Área_de_impresión</vt:lpstr>
      <vt:lpstr>'TABLA MEJORA ENERGÉTICA FASE I'!Área_de_impresión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Meneu Díaz</dc:creator>
  <cp:lastModifiedBy>admon</cp:lastModifiedBy>
  <cp:lastPrinted>2022-06-21T14:44:35Z</cp:lastPrinted>
  <dcterms:created xsi:type="dcterms:W3CDTF">2022-03-07T12:01:55Z</dcterms:created>
  <dcterms:modified xsi:type="dcterms:W3CDTF">2022-11-14T07:43:42Z</dcterms:modified>
</cp:coreProperties>
</file>